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Ex1.xml" ContentType="application/vnd.ms-office.chartex+xml"/>
  <Override PartName="/xl/charts/style1.xml" ContentType="application/vnd.ms-office.chartstyle+xml"/>
  <Override PartName="/xl/charts/colors1.xml" ContentType="application/vnd.ms-office.chartcolorstyle+xml"/>
  <Override PartName="/xl/charts/chartEx2.xml" ContentType="application/vnd.ms-office.chartex+xml"/>
  <Override PartName="/xl/charts/style2.xml" ContentType="application/vnd.ms-office.chartstyle+xml"/>
  <Override PartName="/xl/charts/colors2.xml" ContentType="application/vnd.ms-office.chartcolorstyle+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defaultThemeVersion="166925"/>
  <mc:AlternateContent xmlns:mc="http://schemas.openxmlformats.org/markup-compatibility/2006">
    <mc:Choice Requires="x15">
      <x15ac:absPath xmlns:x15ac="http://schemas.microsoft.com/office/spreadsheetml/2010/11/ac" url="https://rhimagnesita-my.sharepoint.com/personal/layse_harada_rhimagnesita_com/Documents/SUSTAINABILITY-WIHNHGFSLS3/Sustainability Data Pack/2025/"/>
    </mc:Choice>
  </mc:AlternateContent>
  <xr:revisionPtr revIDLastSave="627" documentId="13_ncr:1_{024A2985-6F0A-4CD8-9256-89B4FB10376E}" xr6:coauthVersionLast="47" xr6:coauthVersionMax="47" xr10:uidLastSave="{0845AE4A-BCC2-45B0-8353-57C4ADA907D9}"/>
  <bookViews>
    <workbookView xWindow="-108" yWindow="-108" windowWidth="23256" windowHeight="12456" tabRatio="960" firstSheet="1" activeTab="1" xr2:uid="{404A8CB8-FE31-4828-8D1F-BDC2511A65D9}"/>
  </bookViews>
  <sheets>
    <sheet name="Charts" sheetId="31" state="hidden" r:id="rId1"/>
    <sheet name="Cover Page" sheetId="7" r:id="rId2"/>
    <sheet name="Introduction" sheetId="8" r:id="rId3"/>
    <sheet name="Table of Contents" sheetId="1" r:id="rId4"/>
    <sheet name="Targets 2025 " sheetId="57" r:id="rId5"/>
    <sheet name="Targets 2030" sheetId="58" r:id="rId6"/>
    <sheet name="Targets Climate" sheetId="63" r:id="rId7"/>
    <sheet name="Targets Energy" sheetId="65" r:id="rId8"/>
    <sheet name="GHG emissions" sheetId="62" r:id="rId9"/>
    <sheet name="  GHG emissions methodology" sheetId="40" r:id="rId10"/>
    <sheet name="Energy" sheetId="64" r:id="rId11"/>
    <sheet name="Energy methodology" sheetId="41" r:id="rId12"/>
    <sheet name=" Physical Climate Risks" sheetId="66" r:id="rId13"/>
    <sheet name="Transitional Climate Risks" sheetId="68" r:id="rId14"/>
    <sheet name="Air emissions" sheetId="69" r:id="rId15"/>
    <sheet name="Water " sheetId="59" r:id="rId16"/>
    <sheet name="Resources Use and Waste" sheetId="60" r:id="rId17"/>
    <sheet name="Biodiversity " sheetId="55" r:id="rId18"/>
    <sheet name="Own Workforce" sheetId="38" r:id="rId19"/>
    <sheet name="Own Workforce by country" sheetId="45" r:id="rId20"/>
    <sheet name="Own Workforce by region" sheetId="76" r:id="rId21"/>
    <sheet name="Health and Safety" sheetId="70" r:id="rId22"/>
    <sheet name="Diversity" sheetId="46" r:id="rId23"/>
    <sheet name=" Human Rights" sheetId="71" r:id="rId24"/>
    <sheet name="Social Dialogue" sheetId="35" r:id="rId25"/>
    <sheet name="Communities" sheetId="15" r:id="rId26"/>
    <sheet name="Supply Chain DD" sheetId="78" r:id="rId27"/>
    <sheet name="Corruption&amp;Bribery" sheetId="79" r:id="rId28"/>
    <sheet name="SDGs" sheetId="13" r:id="rId29"/>
    <sheet name="Value Bridge Analysis" sheetId="54" state="hidden" r:id="rId30"/>
    <sheet name="ESG Ratings" sheetId="21" r:id="rId31"/>
    <sheet name="ISO Certifications" sheetId="32" r:id="rId32"/>
    <sheet name="Taxonomy_Summary" sheetId="72" r:id="rId33"/>
    <sheet name="Taxonomy_Turnover" sheetId="73" r:id="rId34"/>
    <sheet name="Taxonomy_CapEx" sheetId="74" r:id="rId35"/>
    <sheet name="Taxonomy_OpEx" sheetId="75" r:id="rId36"/>
  </sheets>
  <externalReferences>
    <externalReference r:id="rId37"/>
    <externalReference r:id="rId38"/>
    <externalReference r:id="rId39"/>
  </externalReferences>
  <definedNames>
    <definedName name="_xlnm._FilterDatabase" localSheetId="31" hidden="1">'ISO Certifications'!$A$7:$A$29</definedName>
    <definedName name="_ftn1" localSheetId="9">'  GHG emissions methodology'!$B$13</definedName>
    <definedName name="_ftnref1" localSheetId="9">'  GHG emissions methodology'!$B$8</definedName>
    <definedName name="_ftnref2" localSheetId="9">'  GHG emissions methodology'!$B$10</definedName>
    <definedName name="_Toc190949513" localSheetId="14">'Air emissions'!$B$37</definedName>
    <definedName name="_Toc256000007" localSheetId="9">'  GHG emissions methodology'!$B$6</definedName>
    <definedName name="_xlchart.v1.0" hidden="1">'Value Bridge Analysis'!$B$3:$B$9</definedName>
    <definedName name="_xlchart.v1.1" hidden="1">'Value Bridge Analysis'!$C$3:$C$9</definedName>
    <definedName name="_xlchart.v1.2" hidden="1">'Value Bridge Analysis'!$B$23:$B$29</definedName>
    <definedName name="_xlchart.v1.3" hidden="1">'Value Bridge Analysis'!$C$23:$C$29</definedName>
    <definedName name="CAPEX_OPEX" localSheetId="23">#REF!</definedName>
    <definedName name="CAPEX_OPEX" localSheetId="12">#REF!</definedName>
    <definedName name="CAPEX_OPEX" localSheetId="14">#REF!</definedName>
    <definedName name="CAPEX_OPEX" localSheetId="27">'[1]GHG emissions'!#REF!</definedName>
    <definedName name="CAPEX_OPEX" localSheetId="21">#REF!</definedName>
    <definedName name="CAPEX_OPEX" localSheetId="26">'[1]GHG emissions'!#REF!</definedName>
    <definedName name="CAPEX_OPEX" localSheetId="13">#REF!</definedName>
    <definedName name="CAPEX_OPEX">'GHG emissions'!#REF!</definedName>
    <definedName name="CAPEX_OPEX_TAB" localSheetId="23">#REF!</definedName>
    <definedName name="CAPEX_OPEX_TAB" localSheetId="12">#REF!</definedName>
    <definedName name="CAPEX_OPEX_TAB" localSheetId="14">#REF!</definedName>
    <definedName name="CAPEX_OPEX_TAB" localSheetId="27">'[1]GHG emissions'!#REF!</definedName>
    <definedName name="CAPEX_OPEX_TAB" localSheetId="21">#REF!</definedName>
    <definedName name="CAPEX_OPEX_TAB" localSheetId="26">'[1]GHG emissions'!#REF!</definedName>
    <definedName name="CAPEX_OPEX_TAB" localSheetId="13">#REF!</definedName>
    <definedName name="CAPEX_OPEX_TAB">'GHG emissions'!#REF!</definedName>
    <definedName name="DATA_PRINT_AREA">#REF!</definedName>
    <definedName name="Disaggregation_of_GHG_emissions">'GHG emissions'!$B$33:$E$37</definedName>
    <definedName name="_xlnm.Print_Area" localSheetId="1">'Cover Page'!$A$1:$N$39</definedName>
    <definedName name="_xlnm.Print_Area" localSheetId="8">'GHG emissions'!#REF!</definedName>
    <definedName name="_xlnm.Print_Area" localSheetId="2">Introduction!$A$1:$B$13</definedName>
    <definedName name="_xlnm.Print_Area" localSheetId="13">'Transitional Climate Risks'!$B$5:$E$9</definedName>
    <definedName name="E1_6_48A" localSheetId="23">#REF!</definedName>
    <definedName name="E1_6_48A" localSheetId="12">#REF!</definedName>
    <definedName name="E1_6_48A" localSheetId="14">#REF!</definedName>
    <definedName name="E1_6_48A" localSheetId="27">'[1]GHG emissions'!#REF!</definedName>
    <definedName name="E1_6_48A" localSheetId="21">#REF!</definedName>
    <definedName name="E1_6_48A" localSheetId="26">'[1]GHG emissions'!#REF!</definedName>
    <definedName name="E1_6_48A" localSheetId="13">#REF!</definedName>
    <definedName name="E1_6_48A">'GHG emissions'!#REF!</definedName>
    <definedName name="E1_6_48A_1" localSheetId="23">#REF!</definedName>
    <definedName name="E1_6_48A_1" localSheetId="12">#REF!</definedName>
    <definedName name="E1_6_48A_1" localSheetId="14">#REF!</definedName>
    <definedName name="E1_6_48A_1" localSheetId="27">'[1]GHG emissions'!#REF!</definedName>
    <definedName name="E1_6_48A_1" localSheetId="21">#REF!</definedName>
    <definedName name="E1_6_48A_1" localSheetId="26">'[1]GHG emissions'!#REF!</definedName>
    <definedName name="E1_6_48A_1" localSheetId="13">#REF!</definedName>
    <definedName name="E1_6_48A_1">'GHG emissions'!#REF!</definedName>
    <definedName name="E1_6_51_BIOGENIC" localSheetId="23">#REF!</definedName>
    <definedName name="E1_6_51_BIOGENIC" localSheetId="12">#REF!</definedName>
    <definedName name="E1_6_51_BIOGENIC" localSheetId="14">#REF!</definedName>
    <definedName name="E1_6_51_BIOGENIC" localSheetId="27">'[1]GHG emissions'!#REF!</definedName>
    <definedName name="E1_6_51_BIOGENIC" localSheetId="21">#REF!</definedName>
    <definedName name="E1_6_51_BIOGENIC" localSheetId="26">'[1]GHG emissions'!#REF!</definedName>
    <definedName name="E1_6_51_BIOGENIC" localSheetId="13">#REF!</definedName>
    <definedName name="E1_6_51_BIOGENIC">'GHG emissions'!#REF!</definedName>
    <definedName name="E1_6_EMISSIONS_BIOGENIC_FUELS" localSheetId="23">#REF!</definedName>
    <definedName name="E1_6_EMISSIONS_BIOGENIC_FUELS" localSheetId="12">#REF!</definedName>
    <definedName name="E1_6_EMISSIONS_BIOGENIC_FUELS" localSheetId="14">#REF!</definedName>
    <definedName name="E1_6_EMISSIONS_BIOGENIC_FUELS" localSheetId="27">'[1]GHG emissions'!#REF!</definedName>
    <definedName name="E1_6_EMISSIONS_BIOGENIC_FUELS" localSheetId="21">#REF!</definedName>
    <definedName name="E1_6_EMISSIONS_BIOGENIC_FUELS" localSheetId="26">'[1]GHG emissions'!#REF!</definedName>
    <definedName name="E1_6_EMISSIONS_BIOGENIC_FUELS" localSheetId="13">#REF!</definedName>
    <definedName name="E1_6_EMISSIONS_BIOGENIC_FUELS">'GHG emissions'!#REF!</definedName>
    <definedName name="E1_6_GHG_SCOPE_3" localSheetId="23">#REF!</definedName>
    <definedName name="E1_6_GHG_SCOPE_3" localSheetId="12">#REF!</definedName>
    <definedName name="E1_6_GHG_SCOPE_3" localSheetId="14">#REF!</definedName>
    <definedName name="E1_6_GHG_SCOPE_3" localSheetId="27">'[1]GHG emissions'!#REF!</definedName>
    <definedName name="E1_6_GHG_SCOPE_3" localSheetId="21">#REF!</definedName>
    <definedName name="E1_6_GHG_SCOPE_3" localSheetId="26">'[1]GHG emissions'!#REF!</definedName>
    <definedName name="E1_6_GHG_SCOPE_3" localSheetId="13">#REF!</definedName>
    <definedName name="E1_6_GHG_SCOPE_3">'GHG emissions'!#REF!</definedName>
    <definedName name="FN1_ESRS_DR_S1_6_3" localSheetId="23">#REF!</definedName>
    <definedName name="FN1_ESRS_DR_S1_6_3" localSheetId="21">#REF!</definedName>
    <definedName name="FN1_ESRS_DR_S1_6_3">#REF!</definedName>
    <definedName name="NewTab_TBD">#REF!</definedName>
    <definedName name="NonFin_Template1_EN">Taxonomy_Summary!$B$6:$R$13</definedName>
    <definedName name="NonFin_Template2_EN_CapEx" localSheetId="34">Taxonomy_CapEx!$B$5:$O$17</definedName>
    <definedName name="NonFin_Template2_EN_OpEx" localSheetId="35">Taxonomy_OpEx!$B$6:$O$17</definedName>
    <definedName name="NonFin_Template2_EN_Turnover">Taxonomy_Turnover!$B$6:$O$17</definedName>
    <definedName name="Pollutants_restatements" localSheetId="27">'[1]Air emissions'!#REF!</definedName>
    <definedName name="Pollutants_restatements" localSheetId="26">'[1]Air emissions'!#REF!</definedName>
    <definedName name="Pollutants_restatements">'Air emissions'!#REF!</definedName>
    <definedName name="PY_TABLE" localSheetId="23">#REF!</definedName>
    <definedName name="PY_TABLE" localSheetId="12">#REF!</definedName>
    <definedName name="PY_TABLE" localSheetId="14">#REF!</definedName>
    <definedName name="PY_TABLE" localSheetId="27">'[2]ESRS_DR S1-6_4'!#REF!</definedName>
    <definedName name="PY_TABLE" localSheetId="8">#REF!</definedName>
    <definedName name="PY_TABLE" localSheetId="21">#REF!</definedName>
    <definedName name="PY_TABLE" localSheetId="16">#REF!</definedName>
    <definedName name="PY_TABLE" localSheetId="26">'[2]ESRS_DR S1-6_4'!#REF!</definedName>
    <definedName name="PY_TABLE" localSheetId="13">#REF!</definedName>
    <definedName name="PY_TABLE" localSheetId="15">#REF!</definedName>
    <definedName name="PY_TABLE">#REF!</definedName>
    <definedName name="RAB_REVENU" localSheetId="23">#REF!</definedName>
    <definedName name="RAB_REVENU" localSheetId="12">#REF!</definedName>
    <definedName name="RAB_REVENU" localSheetId="14">#REF!</definedName>
    <definedName name="RAB_REVENU" localSheetId="27">'[1]GHG emissions'!#REF!</definedName>
    <definedName name="RAB_REVENU" localSheetId="21">#REF!</definedName>
    <definedName name="RAB_REVENU" localSheetId="26">'[1]GHG emissions'!#REF!</definedName>
    <definedName name="RAB_REVENU" localSheetId="13">#REF!</definedName>
    <definedName name="RAB_REVENU">'GHG emissions'!#REF!</definedName>
    <definedName name="RENAME" localSheetId="23">#REF!</definedName>
    <definedName name="RENAME" localSheetId="12">#REF!</definedName>
    <definedName name="RENAME" localSheetId="14">#REF!</definedName>
    <definedName name="RENAME" localSheetId="27">'[2]ESRS_DR S1-6_4'!#REF!</definedName>
    <definedName name="RENAME" localSheetId="8">#REF!</definedName>
    <definedName name="RENAME" localSheetId="21">#REF!</definedName>
    <definedName name="RENAME" localSheetId="16">#REF!</definedName>
    <definedName name="RENAME" localSheetId="26">'[2]ESRS_DR S1-6_4'!#REF!</definedName>
    <definedName name="RENAME" localSheetId="13">#REF!</definedName>
    <definedName name="RENAME" localSheetId="15">#REF!</definedName>
    <definedName name="RENAME">#REF!</definedName>
    <definedName name="RENAMED" localSheetId="23">#REF!</definedName>
    <definedName name="RENAMED" localSheetId="12">#REF!</definedName>
    <definedName name="RENAMED" localSheetId="14">#REF!</definedName>
    <definedName name="RENAMED" localSheetId="27">'[2]ESRS_DR S1-6_4'!#REF!</definedName>
    <definedName name="RENAMED" localSheetId="8">#REF!</definedName>
    <definedName name="RENAMED" localSheetId="21">#REF!</definedName>
    <definedName name="RENAMED" localSheetId="16">#REF!</definedName>
    <definedName name="RENAMED" localSheetId="26">'[2]ESRS_DR S1-6_4'!#REF!</definedName>
    <definedName name="RENAMED" localSheetId="13">#REF!</definedName>
    <definedName name="RENAMED" localSheetId="15">#REF!</definedName>
    <definedName name="RENAMED">#REF!</definedName>
    <definedName name="SAPBEXhrIndnt" hidden="1">1</definedName>
    <definedName name="SAPBEXrevision" hidden="1">0</definedName>
    <definedName name="SAPBEXsysID" hidden="1">"PV3"</definedName>
    <definedName name="SAPBEXwbID" hidden="1">"4ASRGC7MNN69BKR36PK4C4HZE"</definedName>
    <definedName name="scope1_Split">'GHG emissions'!$B$35:$E$37</definedName>
    <definedName name="SOX_NOX_RESTATEMENTS" localSheetId="27">'[1]Air emissions'!#REF!</definedName>
    <definedName name="SOX_NOX_RESTATEMENTS" localSheetId="26">'[1]Air emissions'!#REF!</definedName>
    <definedName name="SOX_NOX_RESTATEMENTS">'Air emissions'!#REF!</definedName>
    <definedName name="Sy_nop" hidden="1">2</definedName>
    <definedName name="TAB_CAPEX">'GHG emissions'!$B$81:$E$83</definedName>
    <definedName name="TAB_CORRECTED" localSheetId="23">#REF!</definedName>
    <definedName name="TAB_CORRECTED" localSheetId="12">#REF!</definedName>
    <definedName name="TAB_CORRECTED" localSheetId="14">#REF!</definedName>
    <definedName name="TAB_CORRECTED" localSheetId="27">'[1]GHG emissions'!#REF!</definedName>
    <definedName name="TAB_CORRECTED" localSheetId="21">#REF!</definedName>
    <definedName name="TAB_CORRECTED" localSheetId="26">'[1]GHG emissions'!#REF!</definedName>
    <definedName name="TAB_CORRECTED" localSheetId="13">#REF!</definedName>
    <definedName name="TAB_CORRECTED">'GHG emissions'!#REF!</definedName>
    <definedName name="TAB_DATA_TB_PRINTED_IN">#REF!</definedName>
    <definedName name="TAB_E1_6_SCOPE2">'GHG emissions'!$B$56:$F$62</definedName>
    <definedName name="TAB_E16_">'GHG emissions'!$B$7:$J$29</definedName>
    <definedName name="TAB_E16_GROSS_SCOPES">'GHG emissions'!$B$7:$J$29</definedName>
    <definedName name="TAB_E2_POL_NOX_TARGET" localSheetId="27">'[1]Air emissions'!#REF!</definedName>
    <definedName name="TAB_E2_POL_NOX_TARGET" localSheetId="26">'[1]Air emissions'!#REF!</definedName>
    <definedName name="TAB_E2_POL_NOX_TARGET">'Air emissions'!#REF!</definedName>
    <definedName name="TAB_E2_POL_OTHERS" localSheetId="27">'[1]Air emissions'!#REF!</definedName>
    <definedName name="TAB_E2_POL_OTHERS" localSheetId="26">'[1]Air emissions'!#REF!</definedName>
    <definedName name="TAB_E2_POL_OTHERS">'Air emissions'!#REF!</definedName>
    <definedName name="TAB_E2_POL_SOX_TARGET" localSheetId="27">'[1]Air emissions'!#REF!</definedName>
    <definedName name="TAB_E2_POL_SOX_TARGET" localSheetId="26">'[1]Air emissions'!#REF!</definedName>
    <definedName name="TAB_E2_POL_SOX_TARGET">'Air emissions'!#REF!</definedName>
    <definedName name="TAB_EI_6_SCOPE3">'GHG emissions'!$B$68:$I$75</definedName>
    <definedName name="TAB_EMISSIONS_BIOG_FUELS">'GHG emissions'!$B$48:$E$51</definedName>
    <definedName name="TAB_ESRS_DR_E1_6_GHG_7" localSheetId="23">#REF!</definedName>
    <definedName name="TAB_ESRS_DR_E1_6_GHG_7" localSheetId="12">#REF!</definedName>
    <definedName name="TAB_ESRS_DR_E1_6_GHG_7" localSheetId="14">#REF!</definedName>
    <definedName name="TAB_ESRS_DR_E1_6_GHG_7" localSheetId="27">'[1]GHG emissions'!#REF!</definedName>
    <definedName name="TAB_ESRS_DR_E1_6_GHG_7" localSheetId="21">#REF!</definedName>
    <definedName name="TAB_ESRS_DR_E1_6_GHG_7" localSheetId="26">'[1]GHG emissions'!#REF!</definedName>
    <definedName name="TAB_ESRS_DR_E1_6_GHG_7" localSheetId="13">#REF!</definedName>
    <definedName name="TAB_ESRS_DR_E1_6_GHG_7">'GHG emissions'!#REF!</definedName>
    <definedName name="TAB_ESRS_DR_E1_6_GHG_emissions_1" localSheetId="23">#REF!</definedName>
    <definedName name="TAB_ESRS_DR_E1_6_GHG_emissions_1" localSheetId="12">#REF!</definedName>
    <definedName name="TAB_ESRS_DR_E1_6_GHG_emissions_1" localSheetId="14">#REF!</definedName>
    <definedName name="TAB_ESRS_DR_E1_6_GHG_emissions_1" localSheetId="27">'[1]GHG emissions'!#REF!</definedName>
    <definedName name="TAB_ESRS_DR_E1_6_GHG_emissions_1" localSheetId="21">#REF!</definedName>
    <definedName name="TAB_ESRS_DR_E1_6_GHG_emissions_1" localSheetId="26">'[1]GHG emissions'!#REF!</definedName>
    <definedName name="TAB_ESRS_DR_E1_6_GHG_emissions_1" localSheetId="13">#REF!</definedName>
    <definedName name="TAB_ESRS_DR_E1_6_GHG_emissions_1">'GHG emissions'!#REF!</definedName>
    <definedName name="TAB_ESRS_DR_E1_6_GHG_TAB__4" localSheetId="23">#REF!</definedName>
    <definedName name="TAB_ESRS_DR_E1_6_GHG_TAB__4" localSheetId="12">#REF!</definedName>
    <definedName name="TAB_ESRS_DR_E1_6_GHG_TAB__4" localSheetId="14">#REF!</definedName>
    <definedName name="TAB_ESRS_DR_E1_6_GHG_TAB__4" localSheetId="27">'[1]GHG emissions'!#REF!</definedName>
    <definedName name="TAB_ESRS_DR_E1_6_GHG_TAB__4" localSheetId="21">#REF!</definedName>
    <definedName name="TAB_ESRS_DR_E1_6_GHG_TAB__4" localSheetId="26">'[1]GHG emissions'!#REF!</definedName>
    <definedName name="TAB_ESRS_DR_E1_6_GHG_TAB__4" localSheetId="13">#REF!</definedName>
    <definedName name="TAB_ESRS_DR_E1_6_GHG_TAB__4">'GHG emissions'!#REF!</definedName>
    <definedName name="TAB_ESRS_DR_E1_6_GHG_TAB__5" localSheetId="23">#REF!</definedName>
    <definedName name="TAB_ESRS_DR_E1_6_GHG_TAB__5" localSheetId="12">#REF!</definedName>
    <definedName name="TAB_ESRS_DR_E1_6_GHG_TAB__5" localSheetId="14">#REF!</definedName>
    <definedName name="TAB_ESRS_DR_E1_6_GHG_TAB__5" localSheetId="27">'[1]GHG emissions'!#REF!</definedName>
    <definedName name="TAB_ESRS_DR_E1_6_GHG_TAB__5" localSheetId="21">#REF!</definedName>
    <definedName name="TAB_ESRS_DR_E1_6_GHG_TAB__5" localSheetId="26">'[1]GHG emissions'!#REF!</definedName>
    <definedName name="TAB_ESRS_DR_E1_6_GHG_TAB__5" localSheetId="13">#REF!</definedName>
    <definedName name="TAB_ESRS_DR_E1_6_GHG_TAB__5">'GHG emissions'!#REF!</definedName>
    <definedName name="TAB_ESRS_DR_E1_6_GHG_TAB_3" localSheetId="23">#REF!</definedName>
    <definedName name="TAB_ESRS_DR_E1_6_GHG_TAB_3" localSheetId="12">#REF!</definedName>
    <definedName name="TAB_ESRS_DR_E1_6_GHG_TAB_3" localSheetId="14">#REF!</definedName>
    <definedName name="TAB_ESRS_DR_E1_6_GHG_TAB_3" localSheetId="27">'[1]GHG emissions'!#REF!</definedName>
    <definedName name="TAB_ESRS_DR_E1_6_GHG_TAB_3" localSheetId="21">#REF!</definedName>
    <definedName name="TAB_ESRS_DR_E1_6_GHG_TAB_3" localSheetId="26">'[1]GHG emissions'!#REF!</definedName>
    <definedName name="TAB_ESRS_DR_E1_6_GHG_TAB_3" localSheetId="13">#REF!</definedName>
    <definedName name="TAB_ESRS_DR_E1_6_GHG_TAB_3">'GHG emissions'!#REF!</definedName>
    <definedName name="TAB_ESRS_DR_E1_6_GHG_TAB_4" localSheetId="23">#REF!</definedName>
    <definedName name="TAB_ESRS_DR_E1_6_GHG_TAB_4" localSheetId="12">#REF!</definedName>
    <definedName name="TAB_ESRS_DR_E1_6_GHG_TAB_4" localSheetId="14">#REF!</definedName>
    <definedName name="TAB_ESRS_DR_E1_6_GHG_TAB_4" localSheetId="27">'[1]GHG emissions'!#REF!</definedName>
    <definedName name="TAB_ESRS_DR_E1_6_GHG_TAB_4" localSheetId="21">#REF!</definedName>
    <definedName name="TAB_ESRS_DR_E1_6_GHG_TAB_4" localSheetId="26">'[1]GHG emissions'!#REF!</definedName>
    <definedName name="TAB_ESRS_DR_E1_6_GHG_TAB_4" localSheetId="13">#REF!</definedName>
    <definedName name="TAB_ESRS_DR_E1_6_GHG_TAB_4">'GHG emissions'!#REF!</definedName>
    <definedName name="TAB_ESRS_DR_E1_6_GHG_TAB_5" localSheetId="23">#REF!</definedName>
    <definedName name="TAB_ESRS_DR_E1_6_GHG_TAB_5" localSheetId="12">#REF!</definedName>
    <definedName name="TAB_ESRS_DR_E1_6_GHG_TAB_5" localSheetId="14">#REF!</definedName>
    <definedName name="TAB_ESRS_DR_E1_6_GHG_TAB_5" localSheetId="27">'[1]GHG emissions'!#REF!</definedName>
    <definedName name="TAB_ESRS_DR_E1_6_GHG_TAB_5" localSheetId="21">#REF!</definedName>
    <definedName name="TAB_ESRS_DR_E1_6_GHG_TAB_5" localSheetId="26">'[1]GHG emissions'!#REF!</definedName>
    <definedName name="TAB_ESRS_DR_E1_6_GHG_TAB_5" localSheetId="13">#REF!</definedName>
    <definedName name="TAB_ESRS_DR_E1_6_GHG_TAB_5">'GHG emissions'!#REF!</definedName>
    <definedName name="TAB_ESRS_DR_E1_6_GHG_TAB_6" localSheetId="23">#REF!</definedName>
    <definedName name="TAB_ESRS_DR_E1_6_GHG_TAB_6" localSheetId="12">#REF!</definedName>
    <definedName name="TAB_ESRS_DR_E1_6_GHG_TAB_6" localSheetId="14">#REF!</definedName>
    <definedName name="TAB_ESRS_DR_E1_6_GHG_TAB_6" localSheetId="27">'[1]GHG emissions'!#REF!</definedName>
    <definedName name="TAB_ESRS_DR_E1_6_GHG_TAB_6" localSheetId="21">#REF!</definedName>
    <definedName name="TAB_ESRS_DR_E1_6_GHG_TAB_6" localSheetId="26">'[1]GHG emissions'!#REF!</definedName>
    <definedName name="TAB_ESRS_DR_E1_6_GHG_TAB_6" localSheetId="13">#REF!</definedName>
    <definedName name="TAB_ESRS_DR_E1_6_GHG_TAB_6">'GHG emissions'!#REF!</definedName>
    <definedName name="TAB_ESRS_DR_E1_6_GHG_TAB_6.1" localSheetId="23">#REF!</definedName>
    <definedName name="TAB_ESRS_DR_E1_6_GHG_TAB_6.1" localSheetId="12">#REF!</definedName>
    <definedName name="TAB_ESRS_DR_E1_6_GHG_TAB_6.1" localSheetId="14">#REF!</definedName>
    <definedName name="TAB_ESRS_DR_E1_6_GHG_TAB_6.1" localSheetId="27">'[1]GHG emissions'!#REF!</definedName>
    <definedName name="TAB_ESRS_DR_E1_6_GHG_TAB_6.1" localSheetId="21">#REF!</definedName>
    <definedName name="TAB_ESRS_DR_E1_6_GHG_TAB_6.1" localSheetId="26">'[1]GHG emissions'!#REF!</definedName>
    <definedName name="TAB_ESRS_DR_E1_6_GHG_TAB_6.1" localSheetId="13">#REF!</definedName>
    <definedName name="TAB_ESRS_DR_E1_6_GHG_TAB_6.1">'GHG emissions'!#REF!</definedName>
    <definedName name="TAB_ESRS_DR_E1_6_GHG_TAB_8" localSheetId="23">#REF!</definedName>
    <definedName name="TAB_ESRS_DR_E1_6_GHG_TAB_8" localSheetId="12">#REF!</definedName>
    <definedName name="TAB_ESRS_DR_E1_6_GHG_TAB_8" localSheetId="14">#REF!</definedName>
    <definedName name="TAB_ESRS_DR_E1_6_GHG_TAB_8" localSheetId="27">'[1]GHG emissions'!#REF!</definedName>
    <definedName name="TAB_ESRS_DR_E1_6_GHG_TAB_8" localSheetId="21">#REF!</definedName>
    <definedName name="TAB_ESRS_DR_E1_6_GHG_TAB_8" localSheetId="26">'[1]GHG emissions'!#REF!</definedName>
    <definedName name="TAB_ESRS_DR_E1_6_GHG_TAB_8" localSheetId="13">#REF!</definedName>
    <definedName name="TAB_ESRS_DR_E1_6_GHG_TAB_8">'GHG emissions'!#REF!</definedName>
    <definedName name="TAB_ESRS_DR_E1_6_GHG_TAB_9" localSheetId="23">#REF!</definedName>
    <definedName name="TAB_ESRS_DR_E1_6_GHG_TAB_9" localSheetId="12">#REF!</definedName>
    <definedName name="TAB_ESRS_DR_E1_6_GHG_TAB_9" localSheetId="14">#REF!</definedName>
    <definedName name="TAB_ESRS_DR_E1_6_GHG_TAB_9" localSheetId="27">'[1]GHG emissions'!#REF!</definedName>
    <definedName name="TAB_ESRS_DR_E1_6_GHG_TAB_9" localSheetId="21">#REF!</definedName>
    <definedName name="TAB_ESRS_DR_E1_6_GHG_TAB_9" localSheetId="26">'[1]GHG emissions'!#REF!</definedName>
    <definedName name="TAB_ESRS_DR_E1_6_GHG_TAB_9" localSheetId="13">#REF!</definedName>
    <definedName name="TAB_ESRS_DR_E1_6_GHG_TAB_9">'GHG emissions'!#REF!</definedName>
    <definedName name="TAB_ESRS_DR_E1_GHG_TAB2" localSheetId="23">#REF!</definedName>
    <definedName name="TAB_ESRS_DR_E1_GHG_TAB2" localSheetId="12">#REF!</definedName>
    <definedName name="TAB_ESRS_DR_E1_GHG_TAB2" localSheetId="14">#REF!</definedName>
    <definedName name="TAB_ESRS_DR_E1_GHG_TAB2" localSheetId="27">'[1]GHG emissions'!#REF!</definedName>
    <definedName name="TAB_ESRS_DR_E1_GHG_TAB2" localSheetId="21">#REF!</definedName>
    <definedName name="TAB_ESRS_DR_E1_GHG_TAB2" localSheetId="26">'[1]GHG emissions'!#REF!</definedName>
    <definedName name="TAB_ESRS_DR_E1_GHG_TAB2" localSheetId="13">#REF!</definedName>
    <definedName name="TAB_ESRS_DR_E1_GHG_TAB2">'GHG emissions'!#REF!</definedName>
    <definedName name="TAB_ESRS_DR_E1_IRO1_2" localSheetId="13">'Transitional Climate Risks'!$B$6:$E$9</definedName>
    <definedName name="TAB_ESRS_DR_E1_IRO1_2">#REF!</definedName>
    <definedName name="TAB_ESRS_DR_E5_TAB_4" localSheetId="23">#REF!</definedName>
    <definedName name="TAB_ESRS_DR_E5_TAB_4" localSheetId="21">#REF!</definedName>
    <definedName name="TAB_ESRS_DR_E5_TAB_4">#REF!</definedName>
    <definedName name="TAB_ESRS_DR_E5_TAB_5" localSheetId="23">#REF!</definedName>
    <definedName name="TAB_ESRS_DR_E5_TAB_5" localSheetId="21">#REF!</definedName>
    <definedName name="TAB_ESRS_DR_E5_TAB_5">#REF!</definedName>
    <definedName name="TAB_ESRS_DR_E5_TAB_6" localSheetId="23">#REF!</definedName>
    <definedName name="TAB_ESRS_DR_E5_TAB_6" localSheetId="21">#REF!</definedName>
    <definedName name="TAB_ESRS_DR_E5_TAB_6">#REF!</definedName>
    <definedName name="TAB_ESRS_DR_S1_6_4" localSheetId="23">#REF!</definedName>
    <definedName name="TAB_ESRS_DR_S1_6_4" localSheetId="12">#REF!</definedName>
    <definedName name="TAB_ESRS_DR_S1_6_4" localSheetId="14">#REF!</definedName>
    <definedName name="TAB_ESRS_DR_S1_6_4" localSheetId="27">'[2]ESRS_DR S1-6_4'!#REF!</definedName>
    <definedName name="TAB_ESRS_DR_S1_6_4" localSheetId="8">#REF!</definedName>
    <definedName name="TAB_ESRS_DR_S1_6_4" localSheetId="21">#REF!</definedName>
    <definedName name="TAB_ESRS_DR_S1_6_4" localSheetId="16">#REF!</definedName>
    <definedName name="TAB_ESRS_DR_S1_6_4" localSheetId="26">'[2]ESRS_DR S1-6_4'!#REF!</definedName>
    <definedName name="TAB_ESRS_DR_S1_6_4" localSheetId="13">#REF!</definedName>
    <definedName name="TAB_ESRS_DR_S1_6_4" localSheetId="15">#REF!</definedName>
    <definedName name="TAB_ESRS_DR_S1_6_4">#REF!</definedName>
    <definedName name="TAB_ESRS_DR_S1_6_4_PY" localSheetId="23">#REF!</definedName>
    <definedName name="TAB_ESRS_DR_S1_6_4_PY" localSheetId="12">#REF!</definedName>
    <definedName name="TAB_ESRS_DR_S1_6_4_PY" localSheetId="14">#REF!</definedName>
    <definedName name="TAB_ESRS_DR_S1_6_4_PY" localSheetId="27">'[2]ESRS_DR S1-6_4'!#REF!</definedName>
    <definedName name="TAB_ESRS_DR_S1_6_4_PY" localSheetId="8">#REF!</definedName>
    <definedName name="TAB_ESRS_DR_S1_6_4_PY" localSheetId="21">#REF!</definedName>
    <definedName name="TAB_ESRS_DR_S1_6_4_PY" localSheetId="16">#REF!</definedName>
    <definedName name="TAB_ESRS_DR_S1_6_4_PY" localSheetId="26">'[2]ESRS_DR S1-6_4'!#REF!</definedName>
    <definedName name="TAB_ESRS_DR_S1_6_4_PY" localSheetId="13">#REF!</definedName>
    <definedName name="TAB_ESRS_DR_S1_6_4_PY" localSheetId="15">#REF!</definedName>
    <definedName name="TAB_ESRS_DR_S1_6_4_PY">#REF!</definedName>
    <definedName name="TAB_ESRS_DR_S1_6_4_PY_2023" localSheetId="23">#REF!</definedName>
    <definedName name="TAB_ESRS_DR_S1_6_4_PY_2023" localSheetId="12">#REF!</definedName>
    <definedName name="TAB_ESRS_DR_S1_6_4_PY_2023" localSheetId="14">#REF!</definedName>
    <definedName name="TAB_ESRS_DR_S1_6_4_PY_2023" localSheetId="27">'[2]ESRS_DR S1-6_4'!#REF!</definedName>
    <definedName name="TAB_ESRS_DR_S1_6_4_PY_2023" localSheetId="8">#REF!</definedName>
    <definedName name="TAB_ESRS_DR_S1_6_4_PY_2023" localSheetId="21">#REF!</definedName>
    <definedName name="TAB_ESRS_DR_S1_6_4_PY_2023" localSheetId="16">#REF!</definedName>
    <definedName name="TAB_ESRS_DR_S1_6_4_PY_2023" localSheetId="26">'[2]ESRS_DR S1-6_4'!#REF!</definedName>
    <definedName name="TAB_ESRS_DR_S1_6_4_PY_2023" localSheetId="13">#REF!</definedName>
    <definedName name="TAB_ESRS_DR_S1_6_4_PY_2023" localSheetId="15">#REF!</definedName>
    <definedName name="TAB_ESRS_DR_S1_6_4_PY_2023">#REF!</definedName>
    <definedName name="TAB_ESRS_S1_4_HS">'Health and Safety'!$B$3:$D$11</definedName>
    <definedName name="TAB_HEALTH_AND_SAFETY_METRICS">'Health and Safety'!$B$5:$E$11</definedName>
    <definedName name="TAB_HEALTH_AND_SAFETY_METRICS_REVIEWED">'Health and Safety'!$B$5:$E$11</definedName>
    <definedName name="TAB_HEALTH_SAFETY_RESTATEMENTS">'Health and Safety'!$B$26:$E$34</definedName>
    <definedName name="TAB_HEALTH_SAFETY_TARGETS">'Health and Safety'!$B$14:$L$18</definedName>
    <definedName name="TAB_HEALTH_SAFETY_TARGETS_REVIEWED">'Health and Safety'!$B$14:$E$18</definedName>
    <definedName name="TAB_HS_METRICS">'Health and Safety'!$B$5:$D$11</definedName>
    <definedName name="TAB_MDR_M_REV_REFRAC_DECA" localSheetId="23">#REF!</definedName>
    <definedName name="TAB_MDR_M_REV_REFRAC_DECA" localSheetId="12">#REF!</definedName>
    <definedName name="TAB_MDR_M_REV_REFRAC_DECA" localSheetId="14">#REF!</definedName>
    <definedName name="TAB_MDR_M_REV_REFRAC_DECA" localSheetId="27">'[1]GHG emissions'!#REF!</definedName>
    <definedName name="TAB_MDR_M_REV_REFRAC_DECA" localSheetId="21">#REF!</definedName>
    <definedName name="TAB_MDR_M_REV_REFRAC_DECA" localSheetId="26">'[1]GHG emissions'!#REF!</definedName>
    <definedName name="TAB_MDR_M_REV_REFRAC_DECA" localSheetId="13">#REF!</definedName>
    <definedName name="TAB_MDR_M_REV_REFRAC_DECA">'GHG emissions'!#REF!</definedName>
    <definedName name="TAB_NOx_Emissions">'Air emissions'!$B$7:$D$12</definedName>
    <definedName name="TAB_NOX_POL">'Air emissions'!$B$7:$E$14</definedName>
    <definedName name="TAB_NOX_SOX_RESTATEMENT" localSheetId="27">'[1]Air emissions'!#REF!</definedName>
    <definedName name="TAB_NOX_SOX_RESTATEMENT" localSheetId="26">'[1]Air emissions'!#REF!</definedName>
    <definedName name="TAB_NOX_SOX_RESTATEMENT">'Air emissions'!#REF!</definedName>
    <definedName name="Tab_NOX2">'Air emissions'!$B$7:$D$14</definedName>
    <definedName name="TAB_OTHER_AIR_POLLUTANTS">'Air emissions'!$B$28:$E$33</definedName>
    <definedName name="TAB_Other_Pollutants_Emissions">'Air emissions'!$B$27:$D$30</definedName>
    <definedName name="Tab_OtherPol2">'Air emissions'!$B$27:$D$33</definedName>
    <definedName name="TAB_PCR_E1_9list">' Physical Climate Risks'!$B$6:$I$37</definedName>
    <definedName name="TAB_PRINT_AREA_3" localSheetId="23">#REF!</definedName>
    <definedName name="TAB_PRINT_AREA_3" localSheetId="12">#REF!</definedName>
    <definedName name="TAB_PRINT_AREA_3" localSheetId="14">#REF!</definedName>
    <definedName name="TAB_PRINT_AREA_3" localSheetId="27">'[2]ESRS_DR E1-5_3'!#REF!</definedName>
    <definedName name="TAB_PRINT_AREA_3" localSheetId="8">#REF!</definedName>
    <definedName name="TAB_PRINT_AREA_3" localSheetId="21">#REF!</definedName>
    <definedName name="TAB_PRINT_AREA_3" localSheetId="16">#REF!</definedName>
    <definedName name="TAB_PRINT_AREA_3" localSheetId="26">'[2]ESRS_DR E1-5_3'!#REF!</definedName>
    <definedName name="TAB_PRINT_AREA_3" localSheetId="13">#REF!</definedName>
    <definedName name="TAB_PRINT_AREA_3" localSheetId="15">#REF!</definedName>
    <definedName name="TAB_PRINT_AREA_3">#REF!</definedName>
    <definedName name="TAB_REESTATEMENTS_GHG_EMISSIONS" localSheetId="27">'[1]GHG emissions'!#REF!</definedName>
    <definedName name="TAB_REESTATEMENTS_GHG_EMISSIONS" localSheetId="26">'[1]GHG emissions'!#REF!</definedName>
    <definedName name="TAB_REESTATEMENTS_GHG_EMISSIONS" localSheetId="13">'GHG emissions'!#REF!</definedName>
    <definedName name="TAB_REESTATEMENTS_GHG_EMISSIONS">'GHG emissions'!#REF!</definedName>
    <definedName name="TAB_REVENU" localSheetId="23">#REF!</definedName>
    <definedName name="TAB_REVENU" localSheetId="12">#REF!</definedName>
    <definedName name="TAB_REVENU" localSheetId="14">#REF!</definedName>
    <definedName name="TAB_REVENU" localSheetId="27">'[1]GHG emissions'!#REF!</definedName>
    <definedName name="TAB_REVENU" localSheetId="21">#REF!</definedName>
    <definedName name="TAB_REVENU" localSheetId="26">'[1]GHG emissions'!#REF!</definedName>
    <definedName name="TAB_REVENU" localSheetId="13">#REF!</definedName>
    <definedName name="TAB_REVENU">'GHG emissions'!#REF!</definedName>
    <definedName name="TAB_REVENUE">'GHG emissions'!$B$89:$D$90</definedName>
    <definedName name="TAB_S1_17">' Human Rights'!$B$5:$E$10</definedName>
    <definedName name="TAB_SCOPE1_ETS">'GHG emissions'!$B$42:$H$44</definedName>
    <definedName name="TAB_SOx_Emissions">'Air emissions'!$B$17:$D$22</definedName>
    <definedName name="TAB_SOX_POL">'Air emissions'!$B$18:$E$25</definedName>
    <definedName name="Tab_SOx2">'Air emissions'!$B$17:$D$23</definedName>
    <definedName name="TAB_TB_TAB">#REF!</definedName>
    <definedName name="Tab_TBI">#REF!</definedName>
    <definedName name="TABLE_E1_IRO1_2_TRANSITION_RISK">'Transitional Climate Risks'!$B$5:$H$9</definedName>
    <definedName name="TABLE_SCOPE_1" localSheetId="23">#REF!</definedName>
    <definedName name="TABLE_SCOPE_1" localSheetId="12">#REF!</definedName>
    <definedName name="TABLE_SCOPE_1" localSheetId="14">#REF!</definedName>
    <definedName name="TABLE_SCOPE_1" localSheetId="27">'[1]GHG emissions'!#REF!</definedName>
    <definedName name="TABLE_SCOPE_1" localSheetId="21">#REF!</definedName>
    <definedName name="TABLE_SCOPE_1" localSheetId="26">'[1]GHG emissions'!#REF!</definedName>
    <definedName name="TABLE_SCOPE_1" localSheetId="13">#REF!</definedName>
    <definedName name="TABLE_SCOPE_1">'GHG emissions'!#REF!</definedName>
    <definedName name="TABLE_SCOPE_1_2" localSheetId="23">#REF!</definedName>
    <definedName name="TABLE_SCOPE_1_2" localSheetId="12">#REF!</definedName>
    <definedName name="TABLE_SCOPE_1_2" localSheetId="14">#REF!</definedName>
    <definedName name="TABLE_SCOPE_1_2" localSheetId="27">'[1]GHG emissions'!#REF!</definedName>
    <definedName name="TABLE_SCOPE_1_2" localSheetId="21">#REF!</definedName>
    <definedName name="TABLE_SCOPE_1_2" localSheetId="26">'[1]GHG emissions'!#REF!</definedName>
    <definedName name="TABLE_SCOPE_1_2" localSheetId="13">#REF!</definedName>
    <definedName name="TABLE_SCOPE_1_2">'GHG emissions'!#REF!</definedName>
    <definedName name="TITLE_DR_S1_17_HUMAN_RIGHTS">' Human Rights'!$B$5:$D$10</definedName>
    <definedName name="TITLE_ESRS_DR_E1_IRO1_2" localSheetId="13">'Transitional Climate Risks'!$B$5</definedName>
    <definedName name="TITLE_ESRS_DR_E1_IRO1_2">#REF!</definedName>
    <definedName name="TITLE_ESRS_DR_S1_6_2" localSheetId="23">#REF!</definedName>
    <definedName name="TITLE_ESRS_DR_S1_6_2" localSheetId="21">#REF!</definedName>
    <definedName name="TITLE_ESRS_DR_S1_6_2">#REF!</definedName>
    <definedName name="Top25Risks" localSheetId="27">'[3]Risk Scorings'!$A$6:$DM$30</definedName>
    <definedName name="Top25Risks" localSheetId="16">#REF!</definedName>
    <definedName name="Top25Risks" localSheetId="26">'[3]Risk Scorings'!$A$6:$DM$30</definedName>
    <definedName name="Top25Risks" localSheetId="15">#REF!</definedName>
    <definedName name="Top25Risk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64" l="1"/>
  <c r="C43" i="78"/>
  <c r="D43" i="78"/>
  <c r="E43" i="78"/>
  <c r="J49" i="38" l="1"/>
  <c r="J55" i="38"/>
  <c r="K14" i="60"/>
  <c r="K15" i="60"/>
  <c r="K13" i="60"/>
  <c r="K9" i="60"/>
  <c r="M56" i="38" l="1"/>
  <c r="N56" i="38"/>
  <c r="O56" i="38"/>
  <c r="P56" i="38"/>
  <c r="Q56" i="38"/>
  <c r="R56" i="38"/>
  <c r="S56" i="38"/>
  <c r="M57" i="38"/>
  <c r="N57" i="38"/>
  <c r="O57" i="38"/>
  <c r="P57" i="38"/>
  <c r="Q57" i="38"/>
  <c r="R57" i="38"/>
  <c r="S57" i="38"/>
  <c r="T56" i="38"/>
  <c r="S45" i="38"/>
  <c r="S46" i="38"/>
  <c r="T62" i="38"/>
  <c r="T63" i="38"/>
  <c r="T64" i="38"/>
  <c r="T61" i="38"/>
  <c r="T57" i="38"/>
  <c r="T52" i="38"/>
  <c r="T51" i="38"/>
  <c r="T50" i="38"/>
  <c r="T45" i="38"/>
  <c r="T46" i="38"/>
  <c r="T41" i="38"/>
  <c r="T40" i="38"/>
  <c r="T39" i="38"/>
  <c r="T35" i="38"/>
  <c r="T34" i="38"/>
  <c r="T32" i="38"/>
  <c r="T31" i="38"/>
  <c r="T26" i="38"/>
  <c r="T27" i="38"/>
  <c r="T24" i="38"/>
  <c r="T23" i="38"/>
  <c r="I33" i="38" l="1"/>
  <c r="I30" i="38"/>
  <c r="K17" i="38" l="1"/>
  <c r="H17" i="38"/>
  <c r="E17" i="38"/>
  <c r="K16" i="38"/>
  <c r="H16" i="38"/>
  <c r="E16" i="38"/>
  <c r="K15" i="38"/>
  <c r="H15" i="38"/>
  <c r="K14" i="38"/>
  <c r="H14" i="38"/>
  <c r="H13" i="38"/>
  <c r="E13" i="38"/>
  <c r="D13" i="38"/>
  <c r="C13" i="38"/>
  <c r="U42" i="76"/>
  <c r="U41" i="76"/>
  <c r="U40" i="76"/>
  <c r="U39" i="76"/>
  <c r="U38" i="76"/>
  <c r="D26" i="76" l="1"/>
  <c r="E26" i="76"/>
  <c r="C26" i="76"/>
  <c r="K28" i="76"/>
  <c r="K29" i="76"/>
  <c r="K30" i="76"/>
  <c r="K27" i="76"/>
  <c r="C20" i="76"/>
  <c r="N42" i="76"/>
  <c r="D42" i="76"/>
  <c r="H42" i="76" s="1"/>
  <c r="N41" i="76"/>
  <c r="E41" i="76"/>
  <c r="D41" i="76"/>
  <c r="N40" i="76"/>
  <c r="N39" i="76"/>
  <c r="N38" i="76"/>
  <c r="H38" i="76"/>
  <c r="H30" i="76"/>
  <c r="E30" i="76"/>
  <c r="H29" i="76"/>
  <c r="E29" i="76"/>
  <c r="H28" i="76"/>
  <c r="H27" i="76"/>
  <c r="H26" i="76"/>
  <c r="D11" i="76"/>
  <c r="C11" i="76"/>
  <c r="L17" i="75"/>
  <c r="K17" i="75"/>
  <c r="J17" i="75"/>
  <c r="I17" i="75"/>
  <c r="H17" i="75"/>
  <c r="F17" i="75"/>
  <c r="E17" i="75"/>
  <c r="D17" i="75"/>
  <c r="L16" i="75"/>
  <c r="K16" i="75"/>
  <c r="J16" i="75"/>
  <c r="I16" i="75"/>
  <c r="H16" i="75"/>
  <c r="O13" i="75"/>
  <c r="O12" i="75"/>
  <c r="G12" i="75"/>
  <c r="G16" i="75" s="1"/>
  <c r="O11" i="75"/>
  <c r="L17" i="74"/>
  <c r="K17" i="74"/>
  <c r="J17" i="74"/>
  <c r="I17" i="74"/>
  <c r="H17" i="74"/>
  <c r="F17" i="74"/>
  <c r="E17" i="74"/>
  <c r="D17" i="74"/>
  <c r="O14" i="74"/>
  <c r="O12" i="74"/>
  <c r="G12" i="74"/>
  <c r="G17" i="74" s="1"/>
  <c r="O11" i="74"/>
  <c r="L17" i="73"/>
  <c r="K17" i="73"/>
  <c r="J17" i="73"/>
  <c r="I17" i="73"/>
  <c r="H17" i="73"/>
  <c r="F17" i="73"/>
  <c r="O17" i="73" s="1"/>
  <c r="E17" i="73"/>
  <c r="D17" i="73"/>
  <c r="L16" i="73"/>
  <c r="K16" i="73"/>
  <c r="J16" i="73"/>
  <c r="I16" i="73"/>
  <c r="H16" i="73"/>
  <c r="O12" i="73"/>
  <c r="G12" i="73"/>
  <c r="G17" i="73" s="1"/>
  <c r="O11" i="73"/>
  <c r="H41" i="76" l="1"/>
  <c r="O17" i="75"/>
  <c r="G17" i="75"/>
  <c r="O17" i="74"/>
  <c r="G16" i="74"/>
  <c r="G16" i="73"/>
  <c r="E19" i="46" l="1"/>
  <c r="J16" i="46" s="1"/>
  <c r="D10" i="46"/>
  <c r="I9" i="46" s="1"/>
  <c r="E10" i="46"/>
  <c r="J9" i="46" s="1"/>
  <c r="C10" i="46"/>
  <c r="H9" i="46" s="1"/>
  <c r="J18" i="46" l="1"/>
  <c r="J17" i="46"/>
  <c r="H8" i="46"/>
  <c r="J8" i="46"/>
  <c r="I8" i="46"/>
  <c r="E6" i="71" l="1"/>
  <c r="L18" i="70"/>
  <c r="K18" i="70"/>
  <c r="J18" i="70"/>
  <c r="I18" i="70"/>
  <c r="H18" i="70"/>
  <c r="G18" i="70"/>
  <c r="F18" i="70"/>
  <c r="F17" i="70" s="1"/>
  <c r="E18" i="70"/>
  <c r="D17" i="70"/>
  <c r="L17" i="70" s="1"/>
  <c r="C17" i="70"/>
  <c r="D16" i="70"/>
  <c r="C16" i="70"/>
  <c r="L15" i="70"/>
  <c r="E15" i="70"/>
  <c r="E11" i="70"/>
  <c r="E10" i="70"/>
  <c r="E9" i="70"/>
  <c r="E8" i="70"/>
  <c r="E7" i="70"/>
  <c r="E6" i="70"/>
  <c r="E40" i="45"/>
  <c r="D40" i="45"/>
  <c r="C40" i="45"/>
  <c r="F39" i="45"/>
  <c r="F38" i="45"/>
  <c r="F37" i="45"/>
  <c r="F36" i="45"/>
  <c r="F35" i="45"/>
  <c r="F34" i="45"/>
  <c r="F33" i="45"/>
  <c r="F32" i="45"/>
  <c r="F31" i="45"/>
  <c r="F30" i="45"/>
  <c r="F28" i="45"/>
  <c r="F27" i="45"/>
  <c r="F26" i="45"/>
  <c r="F25" i="45"/>
  <c r="F24" i="45"/>
  <c r="F23" i="45"/>
  <c r="F22" i="45"/>
  <c r="F21" i="45"/>
  <c r="F20" i="45"/>
  <c r="F19" i="45"/>
  <c r="F18" i="45"/>
  <c r="F17" i="45"/>
  <c r="F16" i="45"/>
  <c r="F15" i="45"/>
  <c r="F13" i="45"/>
  <c r="F12" i="45"/>
  <c r="F11" i="45"/>
  <c r="F10" i="45"/>
  <c r="F9" i="45"/>
  <c r="F8" i="45"/>
  <c r="F7" i="45"/>
  <c r="F6" i="45"/>
  <c r="F40" i="45" l="1"/>
  <c r="L16" i="70"/>
  <c r="E17" i="70"/>
  <c r="E16" i="70"/>
  <c r="E33" i="69" l="1"/>
  <c r="E32" i="69"/>
  <c r="E31" i="69"/>
  <c r="E30" i="69"/>
  <c r="E29" i="69"/>
  <c r="C25" i="69"/>
  <c r="E25" i="69" s="1"/>
  <c r="E22" i="69"/>
  <c r="E21" i="69"/>
  <c r="D14" i="69"/>
  <c r="C14" i="69"/>
  <c r="E13" i="69"/>
  <c r="E12" i="69"/>
  <c r="E11" i="69"/>
  <c r="E10" i="69"/>
  <c r="E8" i="69"/>
  <c r="E42" i="60"/>
  <c r="E41" i="60"/>
  <c r="E30" i="60"/>
  <c r="E29" i="60"/>
  <c r="E28" i="60"/>
  <c r="K10" i="60"/>
  <c r="K6" i="60"/>
  <c r="E14" i="69" l="1"/>
  <c r="C29" i="54" l="1"/>
  <c r="D19" i="65"/>
  <c r="I9" i="65"/>
  <c r="I8" i="65"/>
  <c r="H9" i="65"/>
  <c r="H8" i="65"/>
  <c r="C19" i="65"/>
  <c r="E18" i="65"/>
  <c r="E17" i="65"/>
  <c r="J59" i="64"/>
  <c r="I59" i="64"/>
  <c r="E39" i="64"/>
  <c r="E98" i="62"/>
  <c r="E97" i="62"/>
  <c r="D47" i="64"/>
  <c r="C45" i="64"/>
  <c r="E45" i="64" s="1"/>
  <c r="C40" i="64"/>
  <c r="C41" i="64" s="1"/>
  <c r="D41" i="64"/>
  <c r="E35" i="64"/>
  <c r="D30" i="64"/>
  <c r="C30" i="64"/>
  <c r="E30" i="64" s="1"/>
  <c r="E29" i="64"/>
  <c r="E28" i="64"/>
  <c r="D20" i="64"/>
  <c r="C20" i="64"/>
  <c r="E18" i="64"/>
  <c r="E15" i="64"/>
  <c r="D13" i="64"/>
  <c r="C13" i="64"/>
  <c r="E12" i="64"/>
  <c r="E10" i="64"/>
  <c r="E9" i="64"/>
  <c r="E8" i="64"/>
  <c r="I45" i="63"/>
  <c r="H45" i="63"/>
  <c r="G45" i="63"/>
  <c r="I44" i="63"/>
  <c r="H44" i="63"/>
  <c r="G44" i="63"/>
  <c r="I43" i="63"/>
  <c r="H43" i="63"/>
  <c r="G43" i="63"/>
  <c r="I42" i="63"/>
  <c r="H42" i="63"/>
  <c r="G42" i="63"/>
  <c r="F39" i="63"/>
  <c r="D39" i="63"/>
  <c r="C39" i="63"/>
  <c r="I37" i="63"/>
  <c r="H37" i="63"/>
  <c r="G37" i="63"/>
  <c r="I36" i="63"/>
  <c r="H36" i="63"/>
  <c r="G36" i="63"/>
  <c r="I35" i="63"/>
  <c r="H35" i="63"/>
  <c r="G35" i="63"/>
  <c r="I34" i="63"/>
  <c r="H34" i="63"/>
  <c r="G34" i="63"/>
  <c r="F31" i="63"/>
  <c r="D31" i="63"/>
  <c r="C31" i="63"/>
  <c r="I29" i="63"/>
  <c r="H29" i="63"/>
  <c r="G29" i="63"/>
  <c r="I28" i="63"/>
  <c r="H28" i="63"/>
  <c r="G28" i="63"/>
  <c r="I27" i="63"/>
  <c r="H27" i="63"/>
  <c r="G27" i="63"/>
  <c r="I26" i="63"/>
  <c r="H26" i="63"/>
  <c r="G26" i="63"/>
  <c r="D109" i="62"/>
  <c r="C107" i="62"/>
  <c r="C109" i="62" s="1"/>
  <c r="E103" i="62"/>
  <c r="D102" i="62"/>
  <c r="E102" i="62" s="1"/>
  <c r="E83" i="62"/>
  <c r="E82" i="62"/>
  <c r="E51" i="62"/>
  <c r="E50" i="62"/>
  <c r="E49" i="62"/>
  <c r="F44" i="62"/>
  <c r="D44" i="62"/>
  <c r="F43" i="62"/>
  <c r="D43" i="62"/>
  <c r="E37" i="62"/>
  <c r="E36" i="62"/>
  <c r="I29" i="62"/>
  <c r="H29" i="62"/>
  <c r="G26" i="62"/>
  <c r="F26" i="62"/>
  <c r="G25" i="62"/>
  <c r="F25" i="62"/>
  <c r="G24" i="62"/>
  <c r="D24" i="62"/>
  <c r="F24" i="62" s="1"/>
  <c r="G23" i="62"/>
  <c r="D23" i="62"/>
  <c r="J22" i="62"/>
  <c r="G22" i="62"/>
  <c r="F22" i="62"/>
  <c r="D21" i="62"/>
  <c r="F21" i="62" s="1"/>
  <c r="C21" i="62"/>
  <c r="G21" i="62" s="1"/>
  <c r="E20" i="62"/>
  <c r="J17" i="62"/>
  <c r="E17" i="62"/>
  <c r="G17" i="62" s="1"/>
  <c r="G16" i="62"/>
  <c r="F16" i="62"/>
  <c r="F13" i="62"/>
  <c r="J12" i="62"/>
  <c r="G12" i="62"/>
  <c r="F12" i="62"/>
  <c r="F11" i="62"/>
  <c r="E41" i="64" l="1"/>
  <c r="E13" i="64"/>
  <c r="H44" i="62"/>
  <c r="J44" i="62"/>
  <c r="C20" i="62"/>
  <c r="C28" i="62" s="1"/>
  <c r="E40" i="64"/>
  <c r="C47" i="64"/>
  <c r="E47" i="64" s="1"/>
  <c r="C22" i="64"/>
  <c r="C16" i="64" s="1"/>
  <c r="D22" i="64"/>
  <c r="D16" i="64" s="1"/>
  <c r="C14" i="64"/>
  <c r="C21" i="64"/>
  <c r="E20" i="64"/>
  <c r="E29" i="62"/>
  <c r="G29" i="62" s="1"/>
  <c r="F17" i="62"/>
  <c r="E28" i="62"/>
  <c r="D20" i="62"/>
  <c r="F20" i="62" s="1"/>
  <c r="H43" i="62"/>
  <c r="F23" i="62"/>
  <c r="J43" i="62"/>
  <c r="G20" i="62" l="1"/>
  <c r="C29" i="62"/>
  <c r="E22" i="64"/>
  <c r="D14" i="64"/>
  <c r="D21" i="64"/>
  <c r="D29" i="62"/>
  <c r="D28" i="62"/>
  <c r="J29" i="62" l="1"/>
  <c r="F10" i="58" l="1"/>
  <c r="H11" i="58" l="1"/>
  <c r="H10" i="58"/>
  <c r="H6" i="58"/>
  <c r="H9" i="58"/>
  <c r="H8" i="58"/>
  <c r="H7" i="58"/>
  <c r="O13" i="57"/>
  <c r="O12" i="57"/>
  <c r="O11" i="57"/>
  <c r="O10" i="57"/>
  <c r="O9" i="57"/>
  <c r="N9" i="57"/>
  <c r="O8" i="57"/>
  <c r="N8" i="57"/>
  <c r="O7" i="57"/>
  <c r="I44" i="38" l="1"/>
  <c r="C9" i="54" l="1"/>
  <c r="I60" i="38" l="1"/>
  <c r="S61" i="38" s="1"/>
  <c r="H60" i="38"/>
  <c r="R64" i="38" s="1"/>
  <c r="R62" i="38" l="1"/>
  <c r="S64" i="38"/>
  <c r="S62" i="38"/>
  <c r="R61" i="38"/>
  <c r="S63" i="38"/>
  <c r="R63" i="38"/>
  <c r="D19" i="46" l="1"/>
  <c r="C19" i="46"/>
  <c r="H18" i="46" s="1"/>
  <c r="I16" i="46" l="1"/>
  <c r="I17" i="46"/>
  <c r="I18" i="46"/>
  <c r="H16" i="46"/>
  <c r="H17" i="46"/>
  <c r="I55" i="38" l="1"/>
  <c r="I49" i="38"/>
  <c r="I38" i="38"/>
  <c r="I25" i="38"/>
  <c r="I22" i="38"/>
  <c r="S24" i="38" l="1"/>
  <c r="S23" i="38"/>
  <c r="S27" i="38"/>
  <c r="S26" i="38"/>
  <c r="S41" i="38"/>
  <c r="S40" i="38"/>
  <c r="S39" i="38"/>
  <c r="S32" i="38"/>
  <c r="S31" i="38"/>
  <c r="S34" i="38"/>
  <c r="S35" i="38"/>
  <c r="S52" i="38"/>
  <c r="S51" i="38"/>
  <c r="S50"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Pedro Neto</author>
  </authors>
  <commentList>
    <comment ref="C15" authorId="0" shapeId="0" xr:uid="{820DA25C-B2E3-4DA4-8AAC-1C52653C9296}">
      <text>
        <r>
          <rPr>
            <b/>
            <sz val="9"/>
            <color indexed="81"/>
            <rFont val="Tahoma"/>
            <family val="2"/>
          </rPr>
          <t>Turkiye was tranfer from Europe to Middle East, Türkiye &amp; Africa</t>
        </r>
      </text>
    </comment>
    <comment ref="C18" authorId="0" shapeId="0" xr:uid="{951C747E-3D85-4FDD-8CAB-EC24AE917DB6}">
      <text>
        <r>
          <rPr>
            <b/>
            <sz val="9"/>
            <color indexed="81"/>
            <rFont val="Tahoma"/>
            <family val="2"/>
          </rPr>
          <t>Mexico was transferred from North America to Latim America</t>
        </r>
      </text>
    </comment>
  </commentList>
</comments>
</file>

<file path=xl/sharedStrings.xml><?xml version="1.0" encoding="utf-8"?>
<sst xmlns="http://schemas.openxmlformats.org/spreadsheetml/2006/main" count="1751" uniqueCount="938">
  <si>
    <t xml:space="preserve">RHI MAGNESITA SUSTAINABILITY DATA PACK </t>
  </si>
  <si>
    <t>Performance Metrics</t>
  </si>
  <si>
    <t>Energy</t>
  </si>
  <si>
    <t>Recycling</t>
  </si>
  <si>
    <t>Water</t>
  </si>
  <si>
    <t>Biodiversity</t>
  </si>
  <si>
    <t>Health &amp; Safety</t>
  </si>
  <si>
    <t xml:space="preserve">Communities </t>
  </si>
  <si>
    <t>ETHICS AND GOVERNANCE</t>
  </si>
  <si>
    <t>Corporate Governance</t>
  </si>
  <si>
    <t>Code of Conduct</t>
  </si>
  <si>
    <t>Supplier Code of Conduct</t>
  </si>
  <si>
    <t xml:space="preserve">ISO Certifications </t>
  </si>
  <si>
    <t>ESG Ratings</t>
  </si>
  <si>
    <t>SDGs</t>
  </si>
  <si>
    <t xml:space="preserve"> RHI Magnesita Sustainability Data Pack</t>
  </si>
  <si>
    <t xml:space="preserve">TARGETS BY 2025 vs 2018 BASELINE YEAR </t>
  </si>
  <si>
    <t>Absolute energy consumption (GWh)</t>
  </si>
  <si>
    <t>Use of secondary raw materials</t>
  </si>
  <si>
    <t>Diversity</t>
  </si>
  <si>
    <t>Increase women on our Board and in senior leadership to 33%</t>
  </si>
  <si>
    <t>Board</t>
  </si>
  <si>
    <t>EMT and direct reports</t>
  </si>
  <si>
    <t>per 200,000 hours worked</t>
  </si>
  <si>
    <t>NOx and SOx emissions</t>
  </si>
  <si>
    <t>1. Performance against targets</t>
  </si>
  <si>
    <t>MATERIAL ISSUE</t>
  </si>
  <si>
    <t>CO2 Emissions</t>
  </si>
  <si>
    <t>Absolute (tCO2)</t>
  </si>
  <si>
    <t>Relative (tCO2/t)</t>
  </si>
  <si>
    <t>Relative (MWh / t)</t>
  </si>
  <si>
    <t>Saftey</t>
  </si>
  <si>
    <t>China – target achieved 2021</t>
  </si>
  <si>
    <t>Europe– target 2027</t>
  </si>
  <si>
    <t>South America – target 2027</t>
  </si>
  <si>
    <t>North America – target 2025</t>
  </si>
  <si>
    <t xml:space="preserve">CO2 </t>
  </si>
  <si>
    <t>Absolute emissions (thousand tonnes of CO2)</t>
  </si>
  <si>
    <t>Scope 1</t>
  </si>
  <si>
    <t>of which geogenic emissions</t>
  </si>
  <si>
    <t>of which fuel-based emissions</t>
  </si>
  <si>
    <t>of which other emissions</t>
  </si>
  <si>
    <t>Scope 2</t>
  </si>
  <si>
    <r>
      <rPr>
        <b/>
        <sz val="11"/>
        <color theme="1"/>
        <rFont val="Calibri"/>
        <family val="2"/>
        <scheme val="minor"/>
      </rPr>
      <t xml:space="preserve">Scope 3 </t>
    </r>
    <r>
      <rPr>
        <sz val="11"/>
        <color theme="1"/>
        <rFont val="Calibri"/>
        <family val="2"/>
        <scheme val="minor"/>
      </rPr>
      <t>(raw materials)</t>
    </r>
  </si>
  <si>
    <t>Total</t>
  </si>
  <si>
    <t>Change vs 2018
(base year)</t>
  </si>
  <si>
    <r>
      <rPr>
        <b/>
        <sz val="11"/>
        <color theme="1"/>
        <rFont val="Calibri"/>
        <family val="2"/>
        <scheme val="minor"/>
      </rPr>
      <t xml:space="preserve">Relative emissions </t>
    </r>
    <r>
      <rPr>
        <sz val="11"/>
        <color theme="1"/>
        <rFont val="Calibri"/>
        <family val="2"/>
        <scheme val="minor"/>
      </rPr>
      <t>(tCO2/t product)</t>
    </r>
  </si>
  <si>
    <t>1,89</t>
  </si>
  <si>
    <t>1,85</t>
  </si>
  <si>
    <t>1,96</t>
  </si>
  <si>
    <t>1,82</t>
  </si>
  <si>
    <t>CO2 Emissions Breakdown 2021 by Mass Flow Subject</t>
  </si>
  <si>
    <t>Scope 3 Global (Raw Material)</t>
  </si>
  <si>
    <t>Raw Material</t>
  </si>
  <si>
    <t>Natural Gas</t>
  </si>
  <si>
    <t>Fuel Oil Heavy</t>
  </si>
  <si>
    <t>Others</t>
  </si>
  <si>
    <t>Coal/Coke</t>
  </si>
  <si>
    <t xml:space="preserve">Electricity </t>
  </si>
  <si>
    <t>Diesel/Gasoline/Propan</t>
  </si>
  <si>
    <t>Fuel Oil Light</t>
  </si>
  <si>
    <t>Charcoal</t>
  </si>
  <si>
    <t>Additives</t>
  </si>
  <si>
    <t>LPG</t>
  </si>
  <si>
    <t>Ad4</t>
  </si>
  <si>
    <t>Our Energy  Use</t>
  </si>
  <si>
    <t>Sum of natural gas in [kWh]</t>
  </si>
  <si>
    <t>Sum of electricity in [kWh]</t>
  </si>
  <si>
    <t>Sum of fuel oil light/heavy oil in [kWh]</t>
  </si>
  <si>
    <t>Sum of diesel/petrol in [kWh]</t>
  </si>
  <si>
    <t>Sum of liquid gas (LPG) in [kWh]</t>
  </si>
  <si>
    <t>Sum of hard coal coke &amp; petrol coke in [kWh]</t>
  </si>
  <si>
    <t>Sum total energy [kWh]</t>
  </si>
  <si>
    <t xml:space="preserve">Our energy use by source </t>
  </si>
  <si>
    <t>Natural gas</t>
  </si>
  <si>
    <t>Electricity</t>
  </si>
  <si>
    <t>Fuel oil</t>
  </si>
  <si>
    <t>Diesel</t>
  </si>
  <si>
    <t>Coal and coke</t>
  </si>
  <si>
    <t xml:space="preserve">Use of Secondary raw materials </t>
  </si>
  <si>
    <t>Recycling quantity (t absolute)</t>
  </si>
  <si>
    <t>Absolute CO2-Saving</t>
  </si>
  <si>
    <t xml:space="preserve">Waste </t>
  </si>
  <si>
    <t>Waste total yp + 1 x (onetimer) (haz. + n.haz.)</t>
  </si>
  <si>
    <t>Sum of hazardous waste out [t] yp + 1 x (onetimer)</t>
  </si>
  <si>
    <t>Sum of non hazardous waste out [t] yp + 1 x (onetimer)</t>
  </si>
  <si>
    <t>Sum total waste</t>
  </si>
  <si>
    <t>Note: data collected absed on local regulations</t>
  </si>
  <si>
    <t>Total Water Consumption (million m3)</t>
  </si>
  <si>
    <t>of which water consumption in scarce areas (million m3)</t>
  </si>
  <si>
    <t xml:space="preserve">Environment </t>
  </si>
  <si>
    <t>Forest</t>
  </si>
  <si>
    <t>Summe von Area of forest [ha]</t>
  </si>
  <si>
    <t>-</t>
  </si>
  <si>
    <t>Summe von Number of trees planted [pieces]</t>
  </si>
  <si>
    <t>Summe von Forestation and Reforestation area since ever 
(also forest from natural sucession) [ha]</t>
  </si>
  <si>
    <t>Health and Safety</t>
  </si>
  <si>
    <t>LTIF (Lost time injury frequency per 2000,000 hours worked)</t>
  </si>
  <si>
    <t>TRI - Total Recordable Injuries</t>
  </si>
  <si>
    <t>Women in Leadership</t>
  </si>
  <si>
    <t>EMT</t>
  </si>
  <si>
    <t>EMT + direct reports</t>
  </si>
  <si>
    <t>EMT + EMT Direct Reports</t>
  </si>
  <si>
    <t xml:space="preserve">Spend 2020 By Focus </t>
  </si>
  <si>
    <t>Focus</t>
  </si>
  <si>
    <t>€</t>
  </si>
  <si>
    <t>Emergency Relief</t>
  </si>
  <si>
    <t>COVID Relief</t>
  </si>
  <si>
    <t xml:space="preserve">Education </t>
  </si>
  <si>
    <t xml:space="preserve">Youth development </t>
  </si>
  <si>
    <t>Health &amp; wellbeing</t>
  </si>
  <si>
    <t>Social welfare</t>
  </si>
  <si>
    <t>Arts/culture</t>
  </si>
  <si>
    <t>Economic development</t>
  </si>
  <si>
    <t>Other</t>
  </si>
  <si>
    <t xml:space="preserve">Spend 2020 By Region </t>
  </si>
  <si>
    <t>Country</t>
  </si>
  <si>
    <t>Spending €</t>
  </si>
  <si>
    <t>Region</t>
  </si>
  <si>
    <t>Brazil</t>
  </si>
  <si>
    <t>LATAM</t>
  </si>
  <si>
    <t>India</t>
  </si>
  <si>
    <t>Austria</t>
  </si>
  <si>
    <t>Europe</t>
  </si>
  <si>
    <t>China</t>
  </si>
  <si>
    <t xml:space="preserve">China </t>
  </si>
  <si>
    <t>United States</t>
  </si>
  <si>
    <t>North America</t>
  </si>
  <si>
    <t>Germany</t>
  </si>
  <si>
    <t>Mexico</t>
  </si>
  <si>
    <t>Canada</t>
  </si>
  <si>
    <t>United Kingdom</t>
  </si>
  <si>
    <t xml:space="preserve">Worker Representation </t>
  </si>
  <si>
    <t>Number of board members who are employee representative</t>
  </si>
  <si>
    <t xml:space="preserve">Percentage of employees belonging to unions or covered by works councils or collective bargaining </t>
  </si>
  <si>
    <t>Baseline year: 2018</t>
  </si>
  <si>
    <t>Energy Consumption</t>
  </si>
  <si>
    <t>Energy use by source</t>
  </si>
  <si>
    <t>Renewable sources</t>
  </si>
  <si>
    <t>Non-renewable sources</t>
  </si>
  <si>
    <t>Use of Secondary raw materials (%)</t>
  </si>
  <si>
    <t>Recycling quantity (tonnes)</t>
  </si>
  <si>
    <t xml:space="preserve">Notes: </t>
  </si>
  <si>
    <t>Diversity of governance bodies and employees</t>
  </si>
  <si>
    <t>Male</t>
  </si>
  <si>
    <t>7 (78%)</t>
  </si>
  <si>
    <t>5 (71%)</t>
  </si>
  <si>
    <t>Female</t>
  </si>
  <si>
    <t>2 (22%)</t>
  </si>
  <si>
    <t>2 (29%)</t>
  </si>
  <si>
    <t>Under 30 years old</t>
  </si>
  <si>
    <t>Over 50 years old</t>
  </si>
  <si>
    <t>Target 2025: Increase women on our Board and in senior leadership to 33%</t>
  </si>
  <si>
    <t>Water Consumption (%)</t>
  </si>
  <si>
    <t>Water consumption in non-scarce areas (%)</t>
  </si>
  <si>
    <t>Water consumption in water scarce areas (%)</t>
  </si>
  <si>
    <t xml:space="preserve">* - RHI Magnesita sites in regions at risk of water scarcity follow all applicable regulations including obligations to monitor water withdrawal and capacity limitations.                    </t>
  </si>
  <si>
    <t>Water Withdrawl per source</t>
  </si>
  <si>
    <t>Groundwater (m3)</t>
  </si>
  <si>
    <t>Drinking water (m3)</t>
  </si>
  <si>
    <t>TOTAL</t>
  </si>
  <si>
    <t>South America</t>
  </si>
  <si>
    <t>Integrated Management System | RHI Magnesita</t>
  </si>
  <si>
    <t>Turnover</t>
  </si>
  <si>
    <t>Circular Economy</t>
  </si>
  <si>
    <t>Pollution</t>
  </si>
  <si>
    <t>Manufacture of other low carbon technologies</t>
  </si>
  <si>
    <t>E</t>
  </si>
  <si>
    <t>Material recovery from non-hazardous waste</t>
  </si>
  <si>
    <t>Number of board members who are employee representatives</t>
  </si>
  <si>
    <t>SDGs relevant to the business</t>
  </si>
  <si>
    <t xml:space="preserve">Indicators to measure SDG performance </t>
  </si>
  <si>
    <t>Target</t>
  </si>
  <si>
    <t>Potential Impact</t>
  </si>
  <si>
    <t xml:space="preserve">Our  Performance </t>
  </si>
  <si>
    <t>SDG 4 – Quality Education</t>
  </si>
  <si>
    <t>SDG 5 – Gender Equality</t>
  </si>
  <si>
    <t>Positive: More women in our leadership and a pipeline of future female leaders will contribute to greater gender equality in our business and beyond.</t>
  </si>
  <si>
    <t>SDG 8 – Decent work and economic growth</t>
  </si>
  <si>
    <t>RHI Magnesitas fosters sustainable economic growth in the communities where it operates by implementing various  initiatives centered around three core pillars: Education &amp; Youth Development, Health &amp; Medical care and Environment</t>
  </si>
  <si>
    <t>SDG 9 – Industry Innovation and Infrastructure</t>
  </si>
  <si>
    <t>Positive: New products and technologies help reduce our CO2 emissions, those of our customers and lead our industry.</t>
  </si>
  <si>
    <t>SDG 11 - Sustainable cities and communities</t>
  </si>
  <si>
    <t>Positive: Several initiatives are in place in the areas of Youth Development, Education and Environment in the communities where the group operates</t>
  </si>
  <si>
    <t>SDG 12 – Responsible Consumption and Production</t>
  </si>
  <si>
    <t>SDG 13 – Climate Action</t>
  </si>
  <si>
    <t>SDG 15 – Life on Land</t>
  </si>
  <si>
    <t>SDG 17 Partnerships for the goals</t>
  </si>
  <si>
    <t>Positive: Joint efforts to tackle climate change and address communities aspirations</t>
  </si>
  <si>
    <t xml:space="preserve">Rating Agency </t>
  </si>
  <si>
    <t>CDP</t>
  </si>
  <si>
    <t>C</t>
  </si>
  <si>
    <t>B</t>
  </si>
  <si>
    <t>A-</t>
  </si>
  <si>
    <t>EcoVadis</t>
  </si>
  <si>
    <t>Silver</t>
  </si>
  <si>
    <t>Gold</t>
  </si>
  <si>
    <t>MSCI</t>
  </si>
  <si>
    <t>AA</t>
  </si>
  <si>
    <t xml:space="preserve">Sustainalytics </t>
  </si>
  <si>
    <t>Medium</t>
  </si>
  <si>
    <t>ISS ESG</t>
  </si>
  <si>
    <t>Prime C+</t>
  </si>
  <si>
    <t xml:space="preserve">Figures of CO2 savings revised considering the External Recycling (class 30) emissions factor revision, based on Mireco’s materials data. Then, recently the CO2 emission factor for the external recycling was updated from 0,00 to 0,05 tons of CO2 emission. </t>
  </si>
  <si>
    <t>2025 TARGET</t>
  </si>
  <si>
    <t>Increase use of secondary raw materials to 15%</t>
  </si>
  <si>
    <t>Other sources (m3)</t>
  </si>
  <si>
    <t>Partnerships with entities that are aligned with our strategy and goals (e.g. MCi,Resource Project, MIRECO, Don Bosco Tech India, etc)</t>
  </si>
  <si>
    <t>4 (66%)</t>
  </si>
  <si>
    <t>2 (33%)</t>
  </si>
  <si>
    <t>Permanent</t>
  </si>
  <si>
    <t>Temporary</t>
  </si>
  <si>
    <t xml:space="preserve">Number of employees by employment contract and gender </t>
  </si>
  <si>
    <t>Share employees by employment contract and gender</t>
  </si>
  <si>
    <t xml:space="preserve">Number of employees by employment type and gender </t>
  </si>
  <si>
    <t>Share employees by employment type and gender</t>
  </si>
  <si>
    <t>Full-time</t>
  </si>
  <si>
    <t>Part-time</t>
  </si>
  <si>
    <t>Between 30-50 years old</t>
  </si>
  <si>
    <t>Number of new employee hires by age (excluding seasonal staff)</t>
  </si>
  <si>
    <t>Share of new employee hires by age against  headcount</t>
  </si>
  <si>
    <t>Number of new employee hires by gender (excluding seasonal staff)</t>
  </si>
  <si>
    <t>Share new employee hires by gender against  headcount</t>
  </si>
  <si>
    <t>Number of employee turnover by age (excluding seasonal staff)</t>
  </si>
  <si>
    <t>Share of employee turnover by age against  headcount</t>
  </si>
  <si>
    <t>Number of employee turnover by gender (excluding seasonal staff)</t>
  </si>
  <si>
    <t>Share employee turnover by gender against  headcount</t>
  </si>
  <si>
    <t>Education and Youth Development</t>
  </si>
  <si>
    <t>Our integrated management system covers environment (ISO 14001), occupational health and safety (ISO45001), quality (ISO 9001) and energy (ISO 50001).
To ensure our environmental data is robust, in 2019 we commissioned an independent third-party assessment of our data collection and developed an environmental roadmap based on findings.</t>
  </si>
  <si>
    <t>Sorting and material recovery of non-hazardous waste</t>
  </si>
  <si>
    <t>CE 2.7</t>
  </si>
  <si>
    <t>BIO 1.1</t>
  </si>
  <si>
    <t>Policy Library</t>
  </si>
  <si>
    <r>
      <t xml:space="preserve">Share of employees belonging to unions or covered by works councils or collective bargaining </t>
    </r>
    <r>
      <rPr>
        <b/>
        <vertAlign val="superscript"/>
        <sz val="11"/>
        <color theme="1"/>
        <rFont val="Calibri"/>
        <family val="2"/>
        <scheme val="minor"/>
      </rPr>
      <t>1</t>
    </r>
  </si>
  <si>
    <t>Percentage of own employees covered by collective bargaining agreements are within coverage rate by country with significant employment (in the EEA)</t>
  </si>
  <si>
    <t>Percentage of own employees covered by collective bargaining agreements (outside EEA) by region</t>
  </si>
  <si>
    <t>The Group’s strong commitment to Sustainability is reflected in the ESG ratings that RHI Magnesita scored in HY2024. CDP awarded an "A-" rating, underscoring RHI Magnesita climate action leadership. RHI Magnesita rated “AA” by MSCI and “Gold” by Ecovadis (76 out of 100, a +4pts progress).</t>
  </si>
  <si>
    <t>Total Employees</t>
  </si>
  <si>
    <t>China and East Asia</t>
  </si>
  <si>
    <t>NAM</t>
  </si>
  <si>
    <t>SAM</t>
  </si>
  <si>
    <t xml:space="preserve">Europe, CIS, Turkey </t>
  </si>
  <si>
    <t>Number of employees</t>
  </si>
  <si>
    <t>Non-guarantee hours employees</t>
  </si>
  <si>
    <t>Social Dialogue</t>
  </si>
  <si>
    <t>OWN WORKFORCE</t>
  </si>
  <si>
    <t>Indicators are collected on a yearly basis</t>
  </si>
  <si>
    <t>Note:</t>
  </si>
  <si>
    <t>Percentage of people in its own workforce who are covered by health and safety management system based on legal requirements and (or) recognised standards or guidelines</t>
  </si>
  <si>
    <t>Number of fatalities in own workforce as result of work-related injuries and work-related ill health</t>
  </si>
  <si>
    <t>Number of fatalities as result of work-related injuries and work-related ill health of other workers working on undertaking's sites</t>
  </si>
  <si>
    <t>Number of recordable work-related accidents for own workforce</t>
  </si>
  <si>
    <t>Rate of recordable work-related accidents for own workforce</t>
  </si>
  <si>
    <t>n.a.</t>
  </si>
  <si>
    <t>China &amp; East Asia</t>
  </si>
  <si>
    <t>Europe, CIS &amp; Türkiye</t>
  </si>
  <si>
    <t>India, West Asia &amp; Africa</t>
  </si>
  <si>
    <t>Follow the link below to get our ISO Certificates.</t>
  </si>
  <si>
    <t>Retrospective</t>
  </si>
  <si>
    <t>Milestones and target years</t>
  </si>
  <si>
    <t>Scope 1 GHG emissions</t>
  </si>
  <si>
    <t>Shipped volume (t)</t>
  </si>
  <si>
    <t>Scope 2 GHG emissions</t>
  </si>
  <si>
    <t>Significant scope 3 GHG emissions</t>
  </si>
  <si>
    <t>Total GHG emissions</t>
  </si>
  <si>
    <t>Disaggregation of GHG emissions</t>
  </si>
  <si>
    <t xml:space="preserve">E1-6 44 AR41 </t>
  </si>
  <si>
    <t>excl. Biogenic emissions</t>
  </si>
  <si>
    <t>Percentage of Scope 1 GHG emissionsfrom regulated emission trading scheme (%)</t>
  </si>
  <si>
    <t>E1-6 48b AR44</t>
  </si>
  <si>
    <t>Scope 1:</t>
  </si>
  <si>
    <t>Emissions from biogenic fuels</t>
  </si>
  <si>
    <t>Percentage of contractual instruments, Scope 2 GHG emissions</t>
  </si>
  <si>
    <t>E1-6-49 AR45d</t>
  </si>
  <si>
    <t>MWh</t>
  </si>
  <si>
    <t>%</t>
  </si>
  <si>
    <t>Default delivered electricity from the grid (e.g. standard product offering by an energy supplier), supported by energy attribute certificates</t>
  </si>
  <si>
    <t>Unbundled attribute claims</t>
  </si>
  <si>
    <t>Green electricity products from an energy supplier (e.g. green tariffs)</t>
  </si>
  <si>
    <t xml:space="preserve">Percentage of GHG Scope 3 calculated using primary data </t>
  </si>
  <si>
    <t>E1-6 AR46g</t>
  </si>
  <si>
    <t>Share of emissions based on supplier data</t>
  </si>
  <si>
    <t>Upstream transportation and distribution</t>
  </si>
  <si>
    <t>Downstream transportation and distribution</t>
  </si>
  <si>
    <t>Purchased goods and services</t>
  </si>
  <si>
    <t>thereof purchased raw materials</t>
  </si>
  <si>
    <t>Fuel-and-energy-related activities</t>
  </si>
  <si>
    <t>Current and future financial resources allocated to action plan (Opex)</t>
  </si>
  <si>
    <t>E1-1 16c</t>
  </si>
  <si>
    <t>Revenue from refractory products that enables decarbonisation in the customer industries (e.g. EAF; ESF; OBF; DRI)</t>
  </si>
  <si>
    <t>MDR-M (E1 Opp Rev Demand Steel )</t>
  </si>
  <si>
    <t>RHI Magnesita provides specific solutions to its customers to reduce their GHG emissions. These cover digital solutions as well as refractory products. Additionally, RHI Magnesita provides refractory products specifically designed for Electric Arc Furnaces. Revenue reported is eligible but not aligned according to the EU Taxonomy framework.</t>
  </si>
  <si>
    <t>HISTORICAL DATA</t>
  </si>
  <si>
    <t>Greenhouse gas emissions methodology statement</t>
  </si>
  <si>
    <t>RHI Magnesita reports all relevant direct and indirect emissions. Repored GHG emissions considers carbon dioxide, Hydrofluorocarbons, methane, nitrous oxide and sulphur hexafluoride.</t>
  </si>
  <si>
    <t>Scope 3 GHG emissions</t>
  </si>
  <si>
    <t>CO2 KPI methodology</t>
  </si>
  <si>
    <t>MDR-M 75/77/80</t>
  </si>
  <si>
    <t>Disagregation of non-renewable and renewable energy production</t>
  </si>
  <si>
    <t>E1-5 39</t>
  </si>
  <si>
    <t>Consumption of purchased or acquired electricity, heat, steam, or cooling from fossil sources</t>
  </si>
  <si>
    <t>E1-5 38e</t>
  </si>
  <si>
    <t>Electricity fossil (MWh)</t>
  </si>
  <si>
    <t>Energy efficiency target 2018-2025: 5% energy efficiency improvement</t>
  </si>
  <si>
    <t>%N/N-1</t>
  </si>
  <si>
    <t>Energy consumption (MWh)</t>
  </si>
  <si>
    <t>MWh/t</t>
  </si>
  <si>
    <t>Energy KPI methodology 2018-2025</t>
  </si>
  <si>
    <t>(a)</t>
  </si>
  <si>
    <t>disclose the methodologies and significant assumptions behind the metric, including the limitations of the methodologies used;</t>
  </si>
  <si>
    <t>(b)</t>
  </si>
  <si>
    <t>disclose whether the measurement of the metric is validated by an external body other than the assurance provider and, if so, which body;</t>
  </si>
  <si>
    <t>(c)</t>
  </si>
  <si>
    <t>label and define the metric using meaningful, clear and precise names and descriptions;</t>
  </si>
  <si>
    <t>(d)</t>
  </si>
  <si>
    <t>when currency is specified as the unit of measure, use the presentation currency of its financial statements.</t>
  </si>
  <si>
    <t xml:space="preserve">The energy KPI is the metric used to measure progress against the company's 5% relative energy efficiency target against a 2018 base year. In line with the greenhouse gas protocol the metric is adjusted to reflect changes in the operational footprint due to mergers and aquisitions as well as divestments. As a result the metric does not show the impact of mergers and acquisitions and divestments on the GHG-intensity of the company. The denominator of the KPI are tons of shipped products excluding resale and sale of raw materials with very low GHG-intensity (raw magnesite and dolomite). The shipped volumes is corrected by inventory changes of finished goods and GHG-intensive raw materials produced by RHI Magnesita. The metric is not externally verified. The target did not undergo any significant change in methodology.
</t>
  </si>
  <si>
    <t>Energy KPI methodology 2025-2030</t>
  </si>
  <si>
    <t xml:space="preserve">RHI Magnesita aims to increase its energy efficiency by 1% per year until 2030 against a 2024 base year. Basis for measuring progress are executed projects which increase energy efficiency of production sites in line with ISO 50.001. The target is changed compared to the 2018-2025 energy efficiency target in order to improve traceability.  In line with the greenhouse gas protocol the baseyear is adjusted to reflect changes in the operational footprint due to mergers and aquisitions as well as divestments. The metric is not externally verified. </t>
  </si>
  <si>
    <t>t NOx</t>
  </si>
  <si>
    <t>t SOx</t>
  </si>
  <si>
    <t>CO</t>
  </si>
  <si>
    <t>HFC</t>
  </si>
  <si>
    <t>Hg</t>
  </si>
  <si>
    <t>Land-use</t>
  </si>
  <si>
    <t>Mining can have significant impact on biodiversity. Potential impacts are habitat loss and degradation, pollution and disruption of ecological processes and others. A biodiversity risk screening suggested that land-use change might be a significant impact driver for biodiversity loss. The metric land-use change aims to track the use of land for mining over time. The KPI splits the land affected by mining into six categories. Long-term infrastructure covers roads used exclusively for mining activities and other permanent infrastructure (e.g. crusher in the mine). Current mining operations covers currently exploited land. Tailings and storage facilities includes areas used for storing overburden or process residuals. Area undergoing rehabilitation includes both active rehabilitation as well as passive natural rehabilitation. Licenced mining reserves referes to land where currently no mining operations are on-going but for which the company does have a licence for mining. Remainder of property is other area under operational control of the company directly connected to the mining operations.
The scope of the metric is all land under operational control of the company for the purpose of mining. The metric sums up the landuse of RHI Magnesita's main mining operations in Brumado (BR), York (US), Breitenau (AT), Hochfilzen (AT), Radenthein (AT), Chizhou (CN). The metric is voluntary and not connected to a target. To gain data the metric relies on airial pictures and mining plans and is upadted once per year.</t>
  </si>
  <si>
    <t>Recultivation Opex (EUR)</t>
  </si>
  <si>
    <t>Recultivation in mining refers to the process of restoring the land that has been disturbed by mining activities to its original state or to a state that is suitable for other uses without causing any environmental hazards. Almost always activities as such are obligate by law and must be performed during or after mining. They include conservation and restoration activities with focus on maintaining or improving the status quo of terrestrial, freshwater and marine habitats, as well as ecosystems and populations related to flora and fauna.</t>
  </si>
  <si>
    <t>Resource inflow</t>
  </si>
  <si>
    <t>MDR-A 69</t>
  </si>
  <si>
    <t>Recycling Capex  in EUR</t>
  </si>
  <si>
    <t>GHG Emissions</t>
  </si>
  <si>
    <t>GHG emissions methodology</t>
  </si>
  <si>
    <t>Resource use and waste</t>
  </si>
  <si>
    <t>CLIMATE AND ENVIRONMENT</t>
  </si>
  <si>
    <t>SUSTAINABILITY TARGETS</t>
  </si>
  <si>
    <t>Targets 2025</t>
  </si>
  <si>
    <t>Own Workforce</t>
  </si>
  <si>
    <t>BIODIVERSITY HISTORICAL DATA</t>
  </si>
  <si>
    <t>WATER USE</t>
  </si>
  <si>
    <t>BIODIVERSITY</t>
  </si>
  <si>
    <t>ENERGY</t>
  </si>
  <si>
    <t>GREENHOUSE GAS EMISSIONS METHODOLOGY</t>
  </si>
  <si>
    <t>COLLECTIVE BARGAINING AND SOCIAL DIALOGUE</t>
  </si>
  <si>
    <t>HEALTH AND SAFETY</t>
  </si>
  <si>
    <t>i</t>
  </si>
  <si>
    <t xml:space="preserve">ISO INTEGRATED MANAGEMENT SYSTEM </t>
  </si>
  <si>
    <t>ESG RATINGS</t>
  </si>
  <si>
    <t>Gender</t>
  </si>
  <si>
    <t>India, West Asia and Africa</t>
  </si>
  <si>
    <t>Vietnam</t>
  </si>
  <si>
    <t>USA</t>
  </si>
  <si>
    <t>Ukraine</t>
  </si>
  <si>
    <t>Turkey</t>
  </si>
  <si>
    <t>Taiwan</t>
  </si>
  <si>
    <t>Switzerland</t>
  </si>
  <si>
    <t>Sweden</t>
  </si>
  <si>
    <t>Spain</t>
  </si>
  <si>
    <t>South Africa</t>
  </si>
  <si>
    <t>Slovenia</t>
  </si>
  <si>
    <t>Singapore</t>
  </si>
  <si>
    <t>Russian Fed.</t>
  </si>
  <si>
    <t>Romania</t>
  </si>
  <si>
    <t>Peru</t>
  </si>
  <si>
    <t>Netherlands</t>
  </si>
  <si>
    <t>Italy</t>
  </si>
  <si>
    <t>Hong Kong</t>
  </si>
  <si>
    <t>France</t>
  </si>
  <si>
    <t>Czech Republic</t>
  </si>
  <si>
    <t>Cyprus</t>
  </si>
  <si>
    <t>Colombia</t>
  </si>
  <si>
    <t>Chile</t>
  </si>
  <si>
    <t>Belgium</t>
  </si>
  <si>
    <t>Argentina</t>
  </si>
  <si>
    <t>Share of employees by Gender against  headcount</t>
  </si>
  <si>
    <t>Number of employees by age</t>
  </si>
  <si>
    <t>Share of employees by age against  headcount</t>
  </si>
  <si>
    <t>Death</t>
  </si>
  <si>
    <t>Dismissal (Involuntary)</t>
  </si>
  <si>
    <t>Retirement</t>
  </si>
  <si>
    <t>Voluntary</t>
  </si>
  <si>
    <t>Climate Hazards
 (A-Acute; C-Chronic)</t>
  </si>
  <si>
    <t>Site</t>
  </si>
  <si>
    <t>Current Risk Assessment
 (Short-term)</t>
  </si>
  <si>
    <t>RCP 2.6</t>
  </si>
  <si>
    <t>RCP 4.5</t>
  </si>
  <si>
    <t>RCP 6.0</t>
  </si>
  <si>
    <t>RCP 8.5</t>
  </si>
  <si>
    <t>Brumado</t>
  </si>
  <si>
    <t>Low</t>
  </si>
  <si>
    <t>High</t>
  </si>
  <si>
    <t>Red flag</t>
  </si>
  <si>
    <t>Terminal Aratu</t>
  </si>
  <si>
    <t>Contagem</t>
  </si>
  <si>
    <t>Coronel Fabriciano</t>
  </si>
  <si>
    <t>Fazenda Funchal</t>
  </si>
  <si>
    <t>Retiro Pd Domingo</t>
  </si>
  <si>
    <t>Fazenda Serra dos Ferreiras</t>
  </si>
  <si>
    <t>Uberaba</t>
  </si>
  <si>
    <t>Flood (A)</t>
  </si>
  <si>
    <t>Chizhou</t>
  </si>
  <si>
    <t>Chongqing</t>
  </si>
  <si>
    <t>Dalian</t>
  </si>
  <si>
    <t>Niederdollendorf</t>
  </si>
  <si>
    <t>Urmitz</t>
  </si>
  <si>
    <t>Venkatapuram</t>
  </si>
  <si>
    <t>Rajnandgaon</t>
  </si>
  <si>
    <t>Jamshedpur</t>
  </si>
  <si>
    <t>No risk</t>
  </si>
  <si>
    <t>Katni</t>
  </si>
  <si>
    <t>Cuttack</t>
  </si>
  <si>
    <t>Dalmiapuram</t>
  </si>
  <si>
    <t>Tlalnepantla</t>
  </si>
  <si>
    <t>Pfäffikon</t>
  </si>
  <si>
    <t>Sörmas</t>
  </si>
  <si>
    <t>Eskisehir</t>
  </si>
  <si>
    <t>Pevely</t>
  </si>
  <si>
    <t>York</t>
  </si>
  <si>
    <t>Heat stress - C</t>
  </si>
  <si>
    <t>Sea level rise- C</t>
  </si>
  <si>
    <t>Soil erosion- C</t>
  </si>
  <si>
    <t>Changing air temperature- C</t>
  </si>
  <si>
    <t>Heat stress- C</t>
  </si>
  <si>
    <t>Flood- C</t>
  </si>
  <si>
    <t>Soil erosion - C</t>
  </si>
  <si>
    <t>Changing air temperature - C</t>
  </si>
  <si>
    <t>Water stress - C</t>
  </si>
  <si>
    <t xml:space="preserve">Assumptions and methodologies: </t>
  </si>
  <si>
    <t>2030T</t>
  </si>
  <si>
    <t>Share of Scope 3 category among total Scope 3 emissions</t>
  </si>
  <si>
    <t>Electricity from fossil sources is calculated on a location-based approach.</t>
  </si>
  <si>
    <t>HCl</t>
  </si>
  <si>
    <t>Number of incidents of discrimination including harassment</t>
  </si>
  <si>
    <t>Number of complaints filed through channels for people in own workforce to raise concerns</t>
  </si>
  <si>
    <t>Number of complaints filed to National Contact Points for OECD Multinational Enterprises</t>
  </si>
  <si>
    <t>Number of severe human rights issues and incidents connected to own workforce</t>
  </si>
  <si>
    <t>Climate Drivers</t>
  </si>
  <si>
    <t>Category</t>
  </si>
  <si>
    <t>RHI Magnesita response and strategy</t>
  </si>
  <si>
    <t>Main affected
Time Horizon</t>
  </si>
  <si>
    <t>Related metrics and targets</t>
  </si>
  <si>
    <t>Policy-Making &amp; Regulatory Pressure</t>
  </si>
  <si>
    <t>Risk</t>
  </si>
  <si>
    <t>Medium-Long Term</t>
  </si>
  <si>
    <t>Market &amp; Customers</t>
  </si>
  <si>
    <t>Opportunity</t>
  </si>
  <si>
    <t>Short-Medium-Long Term</t>
  </si>
  <si>
    <t>&lt;0,3</t>
  </si>
  <si>
    <t xml:space="preserve">Impact </t>
  </si>
  <si>
    <t>The Group incorporates carbon permit price projections into its financial planning and maintains a hedging programme to mitigate future exposure risks.
To further enhance sustainability and reduce emissions, we are actively developing innovative technologies, including carbon capture, utilization, and storage (CCUS). Additionally, advancements in sorting technology are being pursued to improve recycling performance.
A key priority is increasing the use of secondary raw materials, which offers a lower carbon footprint compared to the extraction or procurement of virgin raw materials.
Furthermore, the Group remains committed to ongoing investments in fuel switching, renewable energy adoption, and energy efficiency measures, all of which contribute to reducing carbon intensity across operations.</t>
  </si>
  <si>
    <t>RHI Magnesita is committed to supporting its customers in transitioning to low-carbon production processes through our advanced refractory products. Currently, a significant portion of our portfolio serves the steel and cement industries, which together represent approximately 80% of our business. In the steel sector, we provide refractory solutions that enable the use of electric arc furnaces (EAF), a key technology for reducing CO₂ emissions. Our market position reflects this commitment:
RHI Magnesita holds a higher market share in lower CO₂-emitting applications, such as EAF, while maintaining a comparatively lower share in higher-emission technologies, such as basic oxygen furnaces (BOF) and blast furnaces.
The Group  will continue to expand its portfolio of low-energy and low-carbon solutions, including process optimization, recycling services, advanced coating technologies, and digital innovations, to further support our customers in achieving their sustainability targets.</t>
  </si>
  <si>
    <t>In the short term, increasing the proportion of secondary raw materials (SRM) in our products will contribute to a reduction in geogenic emissions from raw material use while simultaneously enabling the development of competitive low-carbon product offerings.
In the long term, the successful implementation of carbon capture, sequestration, and utilization technologies, alongside a transition to renewable energy sources, has the potential to enable the production of refractory products with significantly lower or even net-zero CO₂ emissions.
This strategy is expected to yield a competitive advantage in terms of pricing and market positioning, particularly as customers place increasing emphasis on reducing their Scope 3 emissions. By proactively addressing these sustainability concerns, the Group can strengthen its market presence and differentiate itself from competitors with higher carbon footprints.</t>
  </si>
  <si>
    <t>Increased demand for refractory products that enable decarbonisation of customer industries (EAF, ESF, OBF, DRI  )</t>
  </si>
  <si>
    <t>Equity Value
Base Case</t>
  </si>
  <si>
    <t>Carbon Pricing</t>
  </si>
  <si>
    <t>Recycling 
Technology</t>
  </si>
  <si>
    <t>Enabling Transition</t>
  </si>
  <si>
    <t>Premium</t>
  </si>
  <si>
    <t>Incorporating Carbon 
Expenses via Recycling</t>
  </si>
  <si>
    <t>Equity Value
including Parameters</t>
  </si>
  <si>
    <t>Reduce by 5% per tonne of product</t>
  </si>
  <si>
    <t>Recycling Opex  in EUR</t>
  </si>
  <si>
    <t>LTIF (Lost time injury frequency per 1,000,000 hours worked)</t>
  </si>
  <si>
    <t>ha</t>
  </si>
  <si>
    <t>2019</t>
  </si>
  <si>
    <t>2020</t>
  </si>
  <si>
    <t>2021</t>
  </si>
  <si>
    <t>2022</t>
  </si>
  <si>
    <t>2023</t>
  </si>
  <si>
    <t>2024</t>
  </si>
  <si>
    <t>Forest area</t>
  </si>
  <si>
    <t>Number of trees planted</t>
  </si>
  <si>
    <t>unit</t>
  </si>
  <si>
    <t>Forestation and reforestation area</t>
  </si>
  <si>
    <t>2018</t>
  </si>
  <si>
    <t>2025</t>
  </si>
  <si>
    <t>RHI Magnesita
Sustainability Data Pack 2025</t>
  </si>
  <si>
    <t>SUSTAINABILITY TARGETS 2025</t>
  </si>
  <si>
    <t>PROGRESS IN 2025</t>
  </si>
  <si>
    <t>% 2025 vs. 2018</t>
  </si>
  <si>
    <t>Reduce by 15% per tonne of product</t>
  </si>
  <si>
    <t>Achieve 15% reduction in 2025</t>
  </si>
  <si>
    <r>
      <t>Absolute (ktCO</t>
    </r>
    <r>
      <rPr>
        <vertAlign val="subscript"/>
        <sz val="12"/>
        <color theme="1"/>
        <rFont val="Calibri Light"/>
        <family val="2"/>
        <scheme val="major"/>
      </rPr>
      <t>2</t>
    </r>
    <r>
      <rPr>
        <sz val="12"/>
        <color theme="1"/>
        <rFont val="Calibri Light"/>
        <family val="2"/>
        <scheme val="major"/>
      </rPr>
      <t xml:space="preserve">)
</t>
    </r>
    <r>
      <rPr>
        <i/>
        <sz val="12"/>
        <color theme="1"/>
        <rFont val="Calibri Light"/>
        <family val="2"/>
        <scheme val="major"/>
      </rPr>
      <t>non-adjusted values</t>
    </r>
  </si>
  <si>
    <t>CO2 Emissions
tCO2/t</t>
  </si>
  <si>
    <r>
      <t>Relative (tCO</t>
    </r>
    <r>
      <rPr>
        <vertAlign val="subscript"/>
        <sz val="12"/>
        <color theme="1"/>
        <rFont val="Calibri Light"/>
        <family val="2"/>
        <scheme val="major"/>
      </rPr>
      <t>2</t>
    </r>
    <r>
      <rPr>
        <sz val="12"/>
        <color theme="1"/>
        <rFont val="Calibri Light"/>
        <family val="2"/>
        <scheme val="major"/>
      </rPr>
      <t xml:space="preserve">/t)
</t>
    </r>
    <r>
      <rPr>
        <i/>
        <sz val="12"/>
        <color theme="1"/>
        <rFont val="Calibri Light"/>
        <family val="2"/>
        <scheme val="major"/>
      </rPr>
      <t>baseline adjusted</t>
    </r>
  </si>
  <si>
    <t>Energy
MWh/t</t>
  </si>
  <si>
    <t>Achieve 8% reduction in 2025.</t>
  </si>
  <si>
    <r>
      <t xml:space="preserve">Relative (MWh / t)
</t>
    </r>
    <r>
      <rPr>
        <i/>
        <sz val="12"/>
        <color theme="1"/>
        <rFont val="Calibri Light"/>
        <family val="2"/>
        <scheme val="major"/>
      </rPr>
      <t>baseline adjusted</t>
    </r>
  </si>
  <si>
    <t>Recycling
%</t>
  </si>
  <si>
    <t xml:space="preserve">Use of SRM increased 318% since 2018. </t>
  </si>
  <si>
    <t>Diversity at Board
%</t>
  </si>
  <si>
    <t xml:space="preserve">Target of 33% of gender diversity achieved for both Board and Senior Leadership levels. </t>
  </si>
  <si>
    <t>Diversity at Senior Level
%</t>
  </si>
  <si>
    <t>Health &amp; Safety
LTIFR per 200,000 h</t>
  </si>
  <si>
    <t>Maintain LTIFR at &lt;0.3 (goal: Zero Harm, No Injuries)</t>
  </si>
  <si>
    <t xml:space="preserve">Lost time injury frequency rate (“LTIFR”) decrease 74% over 2018 data. </t>
  </si>
  <si>
    <t>SUSTAINABILITY TARGETS 2030</t>
  </si>
  <si>
    <t>2030 T</t>
  </si>
  <si>
    <t>% 2025 vs. 2024</t>
  </si>
  <si>
    <t>CO2 Emissions
 (scope 1, 2, 3 raw materials)</t>
  </si>
  <si>
    <t>Reduce CO2 emissions by 10% per tonne of product</t>
  </si>
  <si>
    <r>
      <t>Relative (tCO</t>
    </r>
    <r>
      <rPr>
        <vertAlign val="subscript"/>
        <sz val="12"/>
        <color indexed="8"/>
        <rFont val="Calibri Light"/>
        <family val="2"/>
        <scheme val="major"/>
      </rPr>
      <t>2</t>
    </r>
    <r>
      <rPr>
        <sz val="12"/>
        <color indexed="8"/>
        <rFont val="Calibri Light"/>
        <family val="2"/>
        <scheme val="major"/>
      </rPr>
      <t xml:space="preserve">/t)
</t>
    </r>
    <r>
      <rPr>
        <i/>
        <sz val="12"/>
        <color indexed="8"/>
        <rFont val="Calibri Light"/>
        <family val="2"/>
        <scheme val="major"/>
      </rPr>
      <t>baseline adjusted</t>
    </r>
  </si>
  <si>
    <t>Reduce energy consumption by 1% per year</t>
  </si>
  <si>
    <t>Savings in MWh/y</t>
  </si>
  <si>
    <t>69744 
(1.4%)</t>
  </si>
  <si>
    <t>Achieve a combined recycling rate of 20%</t>
  </si>
  <si>
    <t>Share of secondary raw materials use</t>
  </si>
  <si>
    <t>Sustainable Supply Chain</t>
  </si>
  <si>
    <t xml:space="preserve">Achieve  80% coverage of procurement spend </t>
  </si>
  <si>
    <t>Enhancing supplier sustainability management</t>
  </si>
  <si>
    <t>per 1,000,000 hours worked</t>
  </si>
  <si>
    <t>Last update: 24.02.2026</t>
  </si>
  <si>
    <t>Maintain Total recordable injuries frequency rate
(TRIFR) &lt;2.0 per 1,000,000 hours</t>
  </si>
  <si>
    <t>&lt;2.0</t>
  </si>
  <si>
    <t>&lt;0.5</t>
  </si>
  <si>
    <t>Notes:</t>
  </si>
  <si>
    <t>TARGETS BY 2030</t>
  </si>
  <si>
    <t>Unless otherwise specified, all targets use 2024 as the baseline year; the Health and Safety target is based on a 2025 baseline.</t>
  </si>
  <si>
    <t xml:space="preserve">RAPTOR emerges from ReSoURCE, a Horizon Europe technology consortium led by RHI Magnesita, that ran from 1 June 2022 to 30 November 2025, with an EU contribution of €6.09 million,  €1 million from UK government and a total cost of €8.51 million, created to fully modernise the refractory recycling value chain through digitalisation, automation and high precision sorting. </t>
  </si>
  <si>
    <r>
      <t>Water Consumption (million m</t>
    </r>
    <r>
      <rPr>
        <b/>
        <vertAlign val="superscript"/>
        <sz val="12"/>
        <color theme="0"/>
        <rFont val="Calibri Light"/>
        <family val="2"/>
        <scheme val="major"/>
      </rPr>
      <t>3</t>
    </r>
    <r>
      <rPr>
        <b/>
        <sz val="12"/>
        <color theme="0"/>
        <rFont val="Calibri Light"/>
        <family val="2"/>
        <scheme val="major"/>
      </rPr>
      <t>)</t>
    </r>
  </si>
  <si>
    <r>
      <t>Total Water Consumption (million m</t>
    </r>
    <r>
      <rPr>
        <vertAlign val="superscript"/>
        <sz val="12"/>
        <color theme="1"/>
        <rFont val="Calibri Light"/>
        <family val="2"/>
        <scheme val="major"/>
      </rPr>
      <t>3</t>
    </r>
    <r>
      <rPr>
        <sz val="12"/>
        <color theme="1"/>
        <rFont val="Calibri Light"/>
        <family val="2"/>
        <scheme val="major"/>
      </rPr>
      <t>)</t>
    </r>
  </si>
  <si>
    <r>
      <t>of which water consumption in scarce areas (million m</t>
    </r>
    <r>
      <rPr>
        <vertAlign val="superscript"/>
        <sz val="12"/>
        <color theme="1"/>
        <rFont val="Calibri Light"/>
        <family val="2"/>
        <scheme val="major"/>
      </rPr>
      <t>3</t>
    </r>
    <r>
      <rPr>
        <sz val="12"/>
        <color theme="1"/>
        <rFont val="Calibri Light"/>
        <family val="2"/>
        <scheme val="major"/>
      </rPr>
      <t>)*</t>
    </r>
  </si>
  <si>
    <t>The Opex reported considers R&amp;D Opex aimted at increasing the company's recycling.</t>
  </si>
  <si>
    <t>The capex reported considers investments into increasing the company's recycling rate excluding maintenance capex of recycling operations.</t>
  </si>
  <si>
    <t>Financial resources for Resource Use</t>
  </si>
  <si>
    <t>Percentage secondary raw materials</t>
  </si>
  <si>
    <t>Percentage biological materials</t>
  </si>
  <si>
    <t>t materials</t>
  </si>
  <si>
    <t xml:space="preserve">The company captures in its enterprise resource planning tool the material inflows. Water inflow is measured on plant level and reported via environmental IT system. For plants not considered in the central enterprise resource planning tool, volumes are estimated based on finished goods production volumes. Including resale, excluding own mined raw materials and material inflow for capex projects. Around 80% of the resource inflow is water mainly from mine operations. </t>
  </si>
  <si>
    <t>E5-4 28/30/31/32</t>
  </si>
  <si>
    <t>Target 2025: Increase use of secondary raw materials (SRM) to 15%</t>
  </si>
  <si>
    <t>1. Hazardous (Waste generation) - All hazardous waste is handled and disposed of according to relevant environmental regulations in the jurisdiction in which the waste occurs.</t>
  </si>
  <si>
    <t>Waste generation</t>
  </si>
  <si>
    <t>Prime B-</t>
  </si>
  <si>
    <t>42461
(0.84%)</t>
  </si>
  <si>
    <t/>
  </si>
  <si>
    <t>Base year 
(for 2025T)</t>
  </si>
  <si>
    <t xml:space="preserve">Comparative (N-1)\
Base year (for 2030T)
</t>
  </si>
  <si>
    <t>(N)</t>
  </si>
  <si>
    <t>%2025/2024</t>
  </si>
  <si>
    <t>2025 progress against base year 2018 (%)</t>
  </si>
  <si>
    <t>2025T</t>
  </si>
  <si>
    <t>Annual % target / Base year 2024</t>
  </si>
  <si>
    <t>Gross Scope 1 GHG emissions (tCO&lt;sub&gt;2&lt;/sub&gt;e)</t>
  </si>
  <si>
    <t>thereof other GHG emissions (tCO&lt;sub&gt;2&lt;/sub&gt;e)</t>
  </si>
  <si>
    <t>Percentage of Scope 1 GHG emissions from regulated emission trading schemes (%)</t>
  </si>
  <si>
    <t>Gross location-based Scope 2 GHG emissions (tCO&lt;sub&gt;2&lt;/sub&gt;e)</t>
  </si>
  <si>
    <t>Gross market-based Scope 2 GHG emissions (tCO&lt;sub&gt;2&lt;/sub&gt;e)</t>
  </si>
  <si>
    <t>Total Gross indirect (Scope 3) GHG emissions (tCO&lt;sub&gt;2&lt;/sub&gt;e)</t>
  </si>
  <si>
    <t>1) Purchased goods and services</t>
  </si>
  <si>
    <t>there of purchase of raw materials</t>
  </si>
  <si>
    <t>x</t>
  </si>
  <si>
    <t>3) Fuel and energy-related Activities (not included in Scope 1 or Scope 2)</t>
  </si>
  <si>
    <t>4) Upstream transportation and distribution</t>
  </si>
  <si>
    <t>9) Downstream transportation</t>
  </si>
  <si>
    <t>10) Processing of sold products</t>
  </si>
  <si>
    <t>%N/(N-1)</t>
  </si>
  <si>
    <t>2025 (%)</t>
  </si>
  <si>
    <t>2024 (%)</t>
  </si>
  <si>
    <t>2018 (%)</t>
  </si>
  <si>
    <t>2023 (%)</t>
  </si>
  <si>
    <t xml:space="preserve">Direct emissions from biogenic fuels and organic additives </t>
  </si>
  <si>
    <t xml:space="preserve">Indirect emissions from biogenic fuels </t>
  </si>
  <si>
    <t>Indirect biogenic emissions from electricity consumption</t>
  </si>
  <si>
    <t>None (no active purchases of low carbon electricity)</t>
  </si>
  <si>
    <t>Percentage of Electricity consumption based on low-carbon electricity contracts (bundled and unbundled)</t>
  </si>
  <si>
    <t>Processing of sold products</t>
  </si>
  <si>
    <t xml:space="preserve">Current and future financial resources allocated to action plan </t>
  </si>
  <si>
    <t>CapEx (EUR)</t>
  </si>
  <si>
    <r>
      <t>OpEx (EUR)</t>
    </r>
    <r>
      <rPr>
        <vertAlign val="superscript"/>
        <sz val="11"/>
        <color theme="1"/>
        <rFont val="Neutrif Pro"/>
        <family val="3"/>
      </rPr>
      <t>1)</t>
    </r>
  </si>
  <si>
    <t>Revenue (in EUR)</t>
  </si>
  <si>
    <t xml:space="preserve">Revenue from refractory products that enables decarbonisation in the customer industries (e.g. EAF; ESF; BOF; DRI) </t>
  </si>
  <si>
    <t>GHG emissions from not fully consolidated entities</t>
  </si>
  <si>
    <t>Scope 1 (t CO2)</t>
  </si>
  <si>
    <t>Scope 2 (tCO2)</t>
  </si>
  <si>
    <t xml:space="preserve">Scope 1 emissions
Reporting boundaries: RHI Magnesita follows the operational control approach for consolidating data and accounts for GHG emissions or removals from operations over which it has full year operational control in the respective reporting year. Emissions from offices and ware-houses which are not part of operational sites and emissions from Group cars used offsite are not included. Facilities partially owned without operational control are Scope 3 emissions (Investments; not material). 
For investees that are not fully consolidated in the financial statements, including associates, joint ventures, unconsolidated subsidiaries, and contractual joint arrangements where RHI Magnesita has operational control, the following emissions have been considered: 44 tCO₂ under Scope 1 and 14 tCO₂ under Scope 2 market-based. These figures ensure alignment with the reporting requirements by reflecting emissions from entities and operations where operational control is exercised, even if they are not fully consolidated in the financial statements. 
For Scope 1 emissions a materiality threshold of 1% of the total direct plant CO2 emissions (Scope 1) or 1,000 tCO2 per year is applied on plant level.
Most relevant Scope 1 GHG sources are 1) fuel-based emissions at our production facilities from firing various types of kilns in the raw materi-al production and finished goods production and 2) geogenic process emissions from the raw material (MgCO3 is calcined to MgO and CO2). Other minor sources of GHG are organic additives in RHI Magnesita’s finished goods production which oxidize to CO2 in high temperature kilns and emissions from explosives as well as emissions from mobile equipment.
Potentially existing sinks are forests owned by the Group but are at the moment not considered.
Emission factors
For direct Scope 1 emissions, fuel emission factors are used. Where available, supplier and fuel specific emission factors are applied; other-wise, generic fuel emission factors are used. For geogenic emissions from raw materials, emission factors are stoichiometrically calculated. The emission factors used to calculate Scope 1 GHG emissions are provided as fallback emission factors as published by the German Envi-ronmental Agency (Umweltbundesamt, 2016). The selection of these emission factors aligns with established methodologies and ensures consistency in reporting. Furthermore, no third-party calculation tools were used in the preparation of Scope 1 GHG emissions data. </t>
  </si>
  <si>
    <t>RHI Magnesita applies a dual reporting approach for Scope 2 emissions in line with the GHG Protocol Scope 2 Guidance (2015). Market-based emissions reflect the CO₂ intensity of purchased electricity as provided by suppliers and include eligible contractual instruments such as unbundled renewable energy certificates. Where supplier-specific emission factors are unavailable, residual mix emission factors are ap-plied; where neither are available, location-based factors are used as a fallback. Non-CO₂ greenhouse gases are not consistently included in market-based calculations.
Location-based Scope 2 emissions are calculated using grid-average emission factors obtained from third-party databases. These factors include non-CO₂ greenhouse gases, such as CH₄ and N₂O, where available. No external calculation tools were used in the preparation of location-based emissions data. The applied methodology avoids double counting with Scope 1 and Scope 3 emissions and ensures con-sistency with the GHG Protocol.</t>
  </si>
  <si>
    <t xml:space="preserve">RHI Magnesita reports indirect upstream and downstream emissions. Various approaches are used to calculate indirect emissions. No calcu-lation tools have been used for this purpose. The following indirect emissions are excluded from reporting, as they remain below cumulative 5% of the Group’s Scope 1,2 (market-based), and 3 emissions—RHI Magnesita’s threshold for inclusion
•	Use of sold products
•	Capital goods
•	Employee commuting
•	Waste generated in operations
•	Business travel
•	End of life treatment of sold products
•	Investments
•	Upstream leased assets
•	Downstream leased assets
•	Franchises	
The reporting excludes the following indirect emissions:
•	Other purchased goods than purchased raw materials and metal components, trading goods, packaging and those used in capital goods.
•	Emissions of customers other than those directly from use of RHI Magnesita’s products.
</t>
  </si>
  <si>
    <t>Calculation methods for significant Scope 3 categories:</t>
  </si>
  <si>
    <r>
      <t xml:space="preserve">	
</t>
    </r>
    <r>
      <rPr>
        <b/>
        <sz val="11"/>
        <color rgb="FFFF0000"/>
        <rFont val="Calibri"/>
        <family val="2"/>
        <scheme val="minor"/>
      </rPr>
      <t>Purchased goods and services:</t>
    </r>
    <r>
      <rPr>
        <sz val="11"/>
        <color theme="1"/>
        <rFont val="Calibri"/>
        <family val="2"/>
        <scheme val="minor"/>
      </rPr>
      <t xml:space="preserve"> The indirect emissions from purchased goods and services consists of two main groups: purchased raw materi-als and goods for resale; minor emission sources within this category are packaging, purchased metal parts and auxiliary materials. Indirect emissions of these groups are quantified by applying emission factors to the volumes of purchased goods. For purchased raw materials emis-sion factors are applied per raw material class. RHI Magnesita actively engages with suppliers to use emission factors provided by suppliers. For resale goods and estimated emission factors are applied due to a lack of supplier data. For minor emission groups literature values are applied for calculating indirect GHG emissions. Emission factors are applied to actual tonnages of consumed purchased goods.
The Group uses several sources for emission factors for purchased raw materials, prioritized in descending order: 
1.	Supplier provides emission factors of their raw materials which are then used for calculating the emission of the respective raw ma-terial independently of the actual supplier.
2.	In the case of purchased raw materials which the Group also produces on its own it uses the emission factor from own production, if production settings are comparable (e.g., fuel use) or it adapts emission factors according to the assumed energy mix (e.g., coal or electricity based on coal).
3.	The emission factor is taken from literature or databases (e.g., ecoinvent). 
4.	Based on literature research and investigation the CO2 emission factor is calculated reflecting the production process and assumed energy sources of the supplier; or for other products with similar production method as products for which suppliers provided emission factors.
5.	For raw materials for which none of the four approaches leads to a plausible emission factor the residual category “Others” is creat-ed for which a generic emission factor of 1.8 tCO2 per tonne of product is taken. The 1.8 t CO2 were defined per expert judgement as a plausible average value for refractory raw materials.
6.	For secondary raw materials a cut off approach is applied which allocates CO2 emissions form the initial production of primary raw materials fully to the first use phase. As a result the emission factor of secondary raw material only reflects the processing of waste to a secondary raw material. 
</t>
    </r>
    <r>
      <rPr>
        <b/>
        <sz val="11"/>
        <color rgb="FFFF0000"/>
        <rFont val="Calibri"/>
        <family val="2"/>
        <scheme val="minor"/>
      </rPr>
      <t>Downstream and upstream transportation</t>
    </r>
    <r>
      <rPr>
        <sz val="11"/>
        <color theme="1"/>
        <rFont val="Calibri"/>
        <family val="2"/>
        <scheme val="minor"/>
      </rPr>
      <t xml:space="preserve">: For all transportation in the corporate ERP system all transport and distribution flows from origin to destination are fully covered in the GHG calculation, independent if the actual transport activity was performed under the Group's manage-ment responsibility or customer or supplier management responsibility. Transport distances are sourced from publicly available routing platforms. Literature-based CO2 emission factors per tonne-kilometre are used to calculate transport-related GHG emissions. Transportation not covered by the corporate ERP system is extrapolated according to shipped volumes. For emissions related to transport, third party data-base emission factors are used.
</t>
    </r>
    <r>
      <rPr>
        <b/>
        <sz val="11"/>
        <color rgb="FFFF0000"/>
        <rFont val="Calibri"/>
        <family val="2"/>
        <scheme val="minor"/>
      </rPr>
      <t>Upstream fuel and energy related activities</t>
    </r>
    <r>
      <rPr>
        <sz val="11"/>
        <color theme="1"/>
        <rFont val="Calibri"/>
        <family val="2"/>
        <scheme val="minor"/>
      </rPr>
      <t xml:space="preserve">: Emissions from fuel and energy related activities are calculated based on fuel-specific emission factors and applied on fuel-specific energy consumption at company’s operations and for processing of sold products at customer sites. For emissions related to fuel and energy related emissions, third-party database emission factors is used. Fuel- and energy-related emissions are indirect greenhouse gases released during the extraction, production, and transportation of fuels, as well as energy lost during transmission and distribution, before reaching the user of the energy.
Processing of sold products: Emissions from the processing of sold products origin heating up of refractory products at the customer. Emis-sions are estimated based on representative energy consumption data. Total emissions are calculated based on sales volumes of respective product groups.
The base year is adapted in case of changes in the calculation method; changes in production footprint (e.g. plant divestment or mergers and acquisitions) but also in case of an error or a number of cumulative errors that are collectively substantial (exceeding 5% of the respective metric). Start of a new operation or expansion of an existing operation as well as closure of an operation or part of an operation do not lead to an update of the base year. </t>
    </r>
  </si>
  <si>
    <t xml:space="preserve">The CO2 KPI is the metric used to measure progress against the company's 15% relative reduction target against a 2018 base year and 10% relative reduction target against 2024 base year. In line with the greenhouse gas protocol the metric is adjusted to reflect changes in the operational footprint due to mergers and aquisitions as well as divestments. As a result the metric does not show the impact of mergers and acquisitions and divestments on the GHG-intensity of the company. The KPI considers only energy consumed directly by the company. The denominator of the KPI are tons of shipped products excluding resale and sale of raw materials with very low GHG-intensity (raw magnesite and dolomite). The shipped volumes is corrected by inventory changes of finished goods and GHG-intensive raw materials produced by RHI Magnesita. The metric is not externally verified. The target did not undergo any significant change in methodology.
The KPI reflects RHI Magnesita's policy commitment to tackle climate change. The target is not a science-based target and external stakeholders have not been consulted. The target is based on a bottom-up approach with clearly identified CO2 reduction levers. </t>
  </si>
  <si>
    <t>GHG intensity per net revenue</t>
  </si>
  <si>
    <t>Connectivity of GHG intensity based on net revenue with financial reporting information</t>
  </si>
  <si>
    <t>Reductions planned in core operations</t>
  </si>
  <si>
    <t>2025 vs. 2018</t>
  </si>
  <si>
    <t>2030  vs. 2024</t>
  </si>
  <si>
    <t>GHG Scope</t>
  </si>
  <si>
    <t>Reductions planned in own operations</t>
  </si>
  <si>
    <t>Energy efficiency and consumption reduction</t>
  </si>
  <si>
    <t>Material efficiency and consumption reduction</t>
  </si>
  <si>
    <t>Fuel switching</t>
  </si>
  <si>
    <t>Electrification</t>
  </si>
  <si>
    <t>Use of renewable energy</t>
  </si>
  <si>
    <t>Phase out, substitution or modification of product</t>
  </si>
  <si>
    <t>Phase out, substitution or modification of process</t>
  </si>
  <si>
    <t>Reductions expected in value chain</t>
  </si>
  <si>
    <t>Supply chain decarbonisation</t>
  </si>
  <si>
    <t>Scope 3</t>
  </si>
  <si>
    <t>Efficiency in products use phase</t>
  </si>
  <si>
    <t>Decarbonisation of electricity mix in operating countries</t>
  </si>
  <si>
    <r>
      <t>GHG emissions (ktCO</t>
    </r>
    <r>
      <rPr>
        <vertAlign val="subscript"/>
        <sz val="11"/>
        <color theme="1"/>
        <rFont val="Neutrif Pro"/>
        <family val="3"/>
      </rPr>
      <t>2</t>
    </r>
    <r>
      <rPr>
        <sz val="11"/>
        <color theme="1"/>
        <rFont val="Neutrif Pro"/>
        <family val="3"/>
      </rPr>
      <t>)</t>
    </r>
  </si>
  <si>
    <r>
      <t>SBTI Approach - Absolute emissions tCO</t>
    </r>
    <r>
      <rPr>
        <b/>
        <vertAlign val="subscript"/>
        <sz val="11"/>
        <color theme="1"/>
        <rFont val="Neutrif Pro"/>
        <family val="3"/>
      </rPr>
      <t>2</t>
    </r>
    <r>
      <rPr>
        <b/>
        <sz val="11"/>
        <color theme="1"/>
        <rFont val="Neutrif Pro"/>
        <family val="3"/>
      </rPr>
      <t>e</t>
    </r>
  </si>
  <si>
    <t>2025 vs. 2024</t>
  </si>
  <si>
    <t>2030 vs. 2025 T</t>
  </si>
  <si>
    <t>Scope 3 - raw materials</t>
  </si>
  <si>
    <r>
      <t>RHI Magnesita approach - Absolute emissions tCO</t>
    </r>
    <r>
      <rPr>
        <b/>
        <vertAlign val="subscript"/>
        <sz val="11"/>
        <rFont val="Neutrif Pro"/>
        <family val="3"/>
      </rPr>
      <t>2</t>
    </r>
    <r>
      <rPr>
        <b/>
        <sz val="11"/>
        <rFont val="Neutrif Pro"/>
        <family val="3"/>
      </rPr>
      <t>e</t>
    </r>
  </si>
  <si>
    <r>
      <t>RHI Magnesita approach - Relative emissions tCO</t>
    </r>
    <r>
      <rPr>
        <b/>
        <vertAlign val="subscript"/>
        <sz val="11"/>
        <rFont val="Neutrif Pro"/>
        <family val="3"/>
      </rPr>
      <t>2</t>
    </r>
    <r>
      <rPr>
        <b/>
        <sz val="11"/>
        <rFont val="Neutrif Pro"/>
        <family val="3"/>
      </rPr>
      <t>/t</t>
    </r>
  </si>
  <si>
    <t>Share of fossil sources in total energy consumption (%)</t>
  </si>
  <si>
    <t>Energy consumption and mix</t>
  </si>
  <si>
    <t>E1-5 37 + E1-5 38+ E1-5 41</t>
  </si>
  <si>
    <t>Non-renewable energy generation (MWh)</t>
  </si>
  <si>
    <t>Renewable energy generation (MWh)</t>
  </si>
  <si>
    <t>Total (MWh)</t>
  </si>
  <si>
    <t>Energy intensity per net revenue</t>
  </si>
  <si>
    <t>2025 (EUR)</t>
  </si>
  <si>
    <t>2024 (EUR)</t>
  </si>
  <si>
    <t>Connectivity of energy intensity based on net revenue with financial reporting information</t>
  </si>
  <si>
    <r>
      <t>CO</t>
    </r>
    <r>
      <rPr>
        <vertAlign val="subscript"/>
        <sz val="11"/>
        <rFont val="Neutrif Pro"/>
        <family val="3"/>
      </rPr>
      <t>2</t>
    </r>
    <r>
      <rPr>
        <sz val="11"/>
        <rFont val="Neutrif Pro"/>
        <family val="3"/>
      </rPr>
      <t xml:space="preserve"> and equivalent</t>
    </r>
  </si>
  <si>
    <r>
      <t>thereof CO</t>
    </r>
    <r>
      <rPr>
        <vertAlign val="subscript"/>
        <sz val="11"/>
        <color theme="1"/>
        <rFont val="Neutrif Pro"/>
        <family val="3"/>
      </rPr>
      <t>2</t>
    </r>
    <r>
      <rPr>
        <sz val="11"/>
        <color theme="1"/>
        <rFont val="Neutrif Pro"/>
        <family val="3"/>
      </rPr>
      <t xml:space="preserve"> emissions (tCO&lt;sub&gt;2&lt;/sub&gt;e)</t>
    </r>
  </si>
  <si>
    <r>
      <t>Fuel emissions (t CO</t>
    </r>
    <r>
      <rPr>
        <vertAlign val="subscript"/>
        <sz val="11"/>
        <color theme="1"/>
        <rFont val="Neutrif Pro"/>
        <family val="3"/>
      </rPr>
      <t>2</t>
    </r>
    <r>
      <rPr>
        <sz val="11"/>
        <color theme="1"/>
        <rFont val="Neutrif Pro"/>
        <family val="3"/>
      </rPr>
      <t>)</t>
    </r>
  </si>
  <si>
    <r>
      <t>Process emissions (t CO</t>
    </r>
    <r>
      <rPr>
        <vertAlign val="subscript"/>
        <sz val="11"/>
        <color theme="1"/>
        <rFont val="Neutrif Pro"/>
        <family val="3"/>
      </rPr>
      <t>2</t>
    </r>
    <r>
      <rPr>
        <sz val="11"/>
        <color theme="1"/>
        <rFont val="Neutrif Pro"/>
        <family val="3"/>
      </rPr>
      <t>)</t>
    </r>
  </si>
  <si>
    <r>
      <t>ETS covered emissions (t CO</t>
    </r>
    <r>
      <rPr>
        <vertAlign val="subscript"/>
        <sz val="11"/>
        <color theme="1"/>
        <rFont val="Neutrif Pro"/>
        <family val="3"/>
      </rPr>
      <t>2</t>
    </r>
    <r>
      <rPr>
        <sz val="11"/>
        <color theme="1"/>
        <rFont val="Neutrif Pro"/>
        <family val="3"/>
      </rPr>
      <t>)</t>
    </r>
  </si>
  <si>
    <r>
      <t>Not ETS covered emissions (t CO</t>
    </r>
    <r>
      <rPr>
        <vertAlign val="subscript"/>
        <sz val="11"/>
        <color theme="1"/>
        <rFont val="Neutrif Pro"/>
        <family val="3"/>
      </rPr>
      <t>2</t>
    </r>
    <r>
      <rPr>
        <sz val="11"/>
        <color theme="1"/>
        <rFont val="Neutrif Pro"/>
        <family val="3"/>
      </rPr>
      <t>)</t>
    </r>
  </si>
  <si>
    <r>
      <t>Emissions from biogenic fuels (t CO</t>
    </r>
    <r>
      <rPr>
        <vertAlign val="subscript"/>
        <sz val="11"/>
        <rFont val="Neutrif Pro"/>
        <family val="3"/>
      </rPr>
      <t>2</t>
    </r>
    <r>
      <rPr>
        <sz val="11"/>
        <rFont val="Neutrif Pro"/>
        <family val="3"/>
      </rPr>
      <t>eq)</t>
    </r>
  </si>
  <si>
    <r>
      <t>t CO</t>
    </r>
    <r>
      <rPr>
        <vertAlign val="subscript"/>
        <sz val="11"/>
        <color theme="1"/>
        <rFont val="Neutrif Pro"/>
        <family val="3"/>
      </rPr>
      <t>2</t>
    </r>
    <r>
      <rPr>
        <sz val="11"/>
        <color theme="1"/>
        <rFont val="Neutrif Pro"/>
        <family val="3"/>
      </rPr>
      <t xml:space="preserve"> Scope 3</t>
    </r>
  </si>
  <si>
    <r>
      <rPr>
        <vertAlign val="superscript"/>
        <sz val="11"/>
        <color theme="1"/>
        <rFont val="Neutrif Pro"/>
        <family val="3"/>
      </rPr>
      <t>1)</t>
    </r>
    <r>
      <rPr>
        <sz val="11"/>
        <color theme="1"/>
        <rFont val="Neutrif Pro"/>
        <family val="3"/>
      </rPr>
      <t>Opex for decarbonisation covers operational expenditure for aquiring green electricity (additional cost to electricity) and R&amp;D for green projects (e.g. recycling)</t>
    </r>
  </si>
  <si>
    <t xml:space="preserve"> Gross Scopes 1, 2, 3 and Total GHG emissions</t>
  </si>
  <si>
    <t>Percentage of GHG Scope 3 calculated using primary data</t>
  </si>
  <si>
    <t>The share of electricity from renewable, nuclear and fossil sources is calculated on a market-based approach using location-based data where no other data is available.</t>
  </si>
  <si>
    <t>Energy assumptions and methodologies</t>
  </si>
  <si>
    <t>Electricity from renewable sources (PV) is considered in the total energy consumption. Energy from non-renewable energy generation is not considered in the total energy consumption to avoid double reporting. Non-renewable energy generation is estimated based on fuel inputs to electricity generators with an estimated conversion efficiency of 36%.</t>
  </si>
  <si>
    <t>ENERGY METHODOLOGIES</t>
  </si>
  <si>
    <r>
      <t>For each </t>
    </r>
    <r>
      <rPr>
        <b/>
        <i/>
        <sz val="11"/>
        <color theme="1"/>
        <rFont val="Neutrif Pro"/>
        <family val="3"/>
      </rPr>
      <t>metric </t>
    </r>
    <r>
      <rPr>
        <sz val="11"/>
        <color theme="1"/>
        <rFont val="Neutrif Pro"/>
        <family val="3"/>
      </rPr>
      <t>, the undertaking shall:</t>
    </r>
  </si>
  <si>
    <t>Energy savings (MWh)</t>
  </si>
  <si>
    <t>Energy savings (%)</t>
  </si>
  <si>
    <t>Base year 
2018</t>
  </si>
  <si>
    <t>Base year 
2024</t>
  </si>
  <si>
    <t xml:space="preserve">2025 T
</t>
  </si>
  <si>
    <t>2025 progress in target year 
against base year 2024(%)</t>
  </si>
  <si>
    <t>2025 progress in target year 
against base year 2018(%)</t>
  </si>
  <si>
    <t>Energy efficiency target: 2025-2030: 1% energy savings per year</t>
  </si>
  <si>
    <t>1%every year until 2030</t>
  </si>
  <si>
    <t>2030-2050 
(Medium-Long term)</t>
  </si>
  <si>
    <t>n,a.</t>
  </si>
  <si>
    <t>Cold Frost -</t>
  </si>
  <si>
    <t>Hammond</t>
  </si>
  <si>
    <t>Redflag</t>
  </si>
  <si>
    <t>Mareland</t>
  </si>
  <si>
    <t>Tornado</t>
  </si>
  <si>
    <t>Mouton</t>
  </si>
  <si>
    <t>Flood</t>
  </si>
  <si>
    <t>New Castle</t>
  </si>
  <si>
    <t>Oakhill</t>
  </si>
  <si>
    <t>Santa Fe</t>
  </si>
  <si>
    <t>Hillsboroug</t>
  </si>
  <si>
    <t>Soil erosion</t>
  </si>
  <si>
    <t>We have set a target of 15% of recycling rate by 2025. In 2025, the Group achieved 15.9% of secondary raw material content, excluding the recent Joint Venture with BPI Inc.  (2024:14.2%; 2023:12.6%)
Our target was to reduce CO2 intensity by 15% by 2025</t>
  </si>
  <si>
    <t xml:space="preserve">Higher revenue due to increased demand for low-carbon (e.g. recycled) refractory products, resulting in a combined positive impact on equity value of [EUR515m]
</t>
  </si>
  <si>
    <t xml:space="preserve">
Increased demand for RHI Magnesita products that are produced 
with lower carbon footprint AND incorporation of carbon expenses </t>
  </si>
  <si>
    <r>
      <t xml:space="preserve">Sales of refractory products supporting electric arc furnaces, associated with the lower carbon production of steel, was </t>
    </r>
    <r>
      <rPr>
        <sz val="11"/>
        <color theme="1"/>
        <rFont val="Aptos Narrow"/>
        <family val="2"/>
      </rPr>
      <t>€</t>
    </r>
    <r>
      <rPr>
        <sz val="11"/>
        <color theme="1"/>
        <rFont val="Calibri"/>
        <family val="2"/>
        <scheme val="minor"/>
      </rPr>
      <t>510 million in 2025</t>
    </r>
  </si>
  <si>
    <t xml:space="preserve">RHI Magnesita foresees a positive financial impact  on equity value of € 251m, regarding the increased demand from customers for refractory products that help them reduce their emissions is considered low (e.g. EAF)
</t>
  </si>
  <si>
    <t>We have a target to increase the use of secondary raw material to 15% by 2025 and 20% by 2030. In 2025, the Group achieved a recycling rate of 15.9% (excluding the recent Joint Venture with BPI Inc).</t>
  </si>
  <si>
    <t>Short-term</t>
  </si>
  <si>
    <t xml:space="preserve">The Recycling Rate in 2025 reached 15.9%. RHIM plants had consumed 416kt of recycled materials. This led to €49 million in raw material cost savings for refractory finished goods and a reduction of 551kt in CO₂ emissions.
</t>
  </si>
  <si>
    <t>RHI Magnesita anticipates an estimated impact of approximately € 13m on its equity value, driven by the increase in the cost of capital required to achieve its CO₂ reduction targets. This reflects the financial implications of transitioning towards lower-carbon operations and compliance with evolving regulatory frameworks.</t>
  </si>
  <si>
    <t>Increased cost of capital for investing in recycling technology to achieve CO2 reduction targets​</t>
  </si>
  <si>
    <t>Technology</t>
  </si>
  <si>
    <t xml:space="preserve">We have set a 15% emissions intensity reduction target by 2025 on a 2018 baseline of Scope 1, 2 and 3 raw materials emissions. By the end of 2025, the Group emissions intensity was 15.4% lower than the 2018 baseline.
</t>
  </si>
  <si>
    <t xml:space="preserve">RHI Magnesita foreseen an impact on equity value of circa ca. €136 million due to the increase in operating costs because of increase in level or scope of carbon pricing
</t>
  </si>
  <si>
    <t>Increase in operating or capital expenditures due to changes in policy and regulation</t>
  </si>
  <si>
    <t>Risk/
Opportunity</t>
  </si>
  <si>
    <t>Targets 2030</t>
  </si>
  <si>
    <t>Targets Climate</t>
  </si>
  <si>
    <t>Targets Energy</t>
  </si>
  <si>
    <t>Recycling rate</t>
  </si>
  <si>
    <t>Other Recycling KPIs</t>
  </si>
  <si>
    <r>
      <t>CO</t>
    </r>
    <r>
      <rPr>
        <vertAlign val="subscript"/>
        <sz val="12"/>
        <color theme="1"/>
        <rFont val="Neutrif Pro"/>
        <family val="3"/>
      </rPr>
      <t>2</t>
    </r>
    <r>
      <rPr>
        <sz val="12"/>
        <color theme="1"/>
        <rFont val="Neutrif Pro"/>
        <family val="3"/>
      </rPr>
      <t xml:space="preserve"> savings due to recycling (tonnes)</t>
    </r>
  </si>
  <si>
    <t>Resource inflow (E5-4 28/30/31/32)</t>
  </si>
  <si>
    <t>%N/N-1)</t>
  </si>
  <si>
    <t>Financial resources</t>
  </si>
  <si>
    <t>Latin America</t>
  </si>
  <si>
    <t>Europe &amp; CIS</t>
  </si>
  <si>
    <t>Middle East, Türkiye &amp; Africa</t>
  </si>
  <si>
    <t>Particulate Matter (PM10)</t>
  </si>
  <si>
    <t>South Korea</t>
  </si>
  <si>
    <t>Given its global operations, RHI Magnesita adheres to local regulatory standards for air pollutant monitoring. Monitoring is carried out in alignment with the applicable EU BREF standards for ceramics and magnesium oxide. Where BREF guidance is not applicable, equivalent internationally recognised benchmarks are applied. Sites in Europe comply with EN standards, while the U.S. facility follows EPA reference methods, integrating both continuous and periodic stack testing. In China and India, sites align with national air quality regulations, while Brazilian operations adhere to CONAMA standards, utilizing monitoring instruments and methodologies comparable to those in Europe and the U.S. 
Emissions are measured from off-gases of relevant production units, either continuously or on a spot basis, as specified by environmental permits that define monitoring locations, frequency, and methodologies. Total emissions are calculated based on pollutant concentration per cubic meter of off-gas and total annual off-gas volumes. Where automated measurement systems (AMS) are used, calibration tests are performed in accordance with applicable regulatory, technical, and permit-based requirements to ensure the accuracy and reliability of measured data.For compliance reporting purposes, all sites are recommended to report the results from spot measurement campaigns with exception from China facilities that emission monitoring is direct connected with authorities. Periodic and spot measurements are conducted and/or verified by independent accredited laboratories where required by regulation or permit conditions. In jurisdictions with direct regulatory oversight of emissions data, such oversight is considered to provide equivalent assurance.
Dust emissions occur both as piped emissions (e.g. from chimney as part of the offgas) from the firing process, but also during the storage and handling of raw materials and fuels (e.g. conveyors or elevators), and from grinding and milling processes or as diffuse emissions (e.g. from dusty roads in plants). For channeled dust emission from combustion, emission measurement is typically done as part of the other air pollutant measurements as spot measurement. For channeled dust emissions from non-combustion sources (e.g. dedusting units in dusty production areas), additional spot measurements are taken. Frequency of measurements is once or a few times per year in line with local applicable law. Total dust emissions are calculated based on measurements where concentrations are measured and offgas volumes (same as for other air pollutants).
For HFC emissions, direct measurement is not feasible; instead, mass balance calculations ensure a more accurate and reliable estimation compared to online analysers. HFCs, commonly used in air conditioning, are accounted for by tracking all inputs and outputs, minimizing measurement uncertainties. Where historical data is incomplete, HFC emissions are estimated based on production volumes, maintaining consistency in reporting. RHI Magnesita follows the recommended approach for both equipment manufacturers and users who maintain their own equipment, estimating HFC emissions based on the quantity of refrigerant purchased and used, in accordance with the GHG Protocol. This “Sales-Based Approach” requires data that should be available from entity purchase and service records, and tracks emissions from equipment manufacturing (producers) or installation (users), operation, servicing, and disposal. The Group has restated its 2024 emissions data for SOx, NOx and other regulated air pollutants as it introduced reporting thresholds provided by the European Pollutant Release and Transfer Register (E-PRTR) resulting in lower total pollutant emissions being reported. Furthermore, dust is newly reported as PM10 and the respective 2024 figures are presented in this report to enhance comparability</t>
  </si>
  <si>
    <t>n.a</t>
  </si>
  <si>
    <t>% N / N-1</t>
  </si>
  <si>
    <t>Net revenue used to calculate GHG intensity</t>
  </si>
  <si>
    <t>Net revenue (other)</t>
  </si>
  <si>
    <t>Total net revenue (in financial statements)</t>
  </si>
  <si>
    <t>1) Fuel consumption from coal and coal products (MWh)</t>
  </si>
  <si>
    <t>2) Fuel consumption from crude oil and petroleum products (MWh)</t>
  </si>
  <si>
    <t>3) Fuel consumption from natural gas (MWh)</t>
  </si>
  <si>
    <t>4) Fuel consumption from other fossil sources (MWh)</t>
  </si>
  <si>
    <t>5) Consumption of purchased or acquired electricity, heat, steam, and cooling from fossil sources (MWh)</t>
  </si>
  <si>
    <t>6) Total fossil energy consumption (MWh) (calculated as the sum of lines 1 to 5)</t>
  </si>
  <si>
    <t>7) Consumption from nuclear sources (MWh)</t>
  </si>
  <si>
    <t>Share of consumption from nuclear  sources in total energy consumption (%)</t>
  </si>
  <si>
    <t>8) Fuel consumption for renewable sources, including biomass (also comprising industrial and municipal waste of biologic origin, biogas, renewable hydrogen, etc.) (MWh)</t>
  </si>
  <si>
    <t>9) Consumption of purchased or acquired electricity, heat, steam, and cooling from renewable sources (MWh)</t>
  </si>
  <si>
    <t>10) The consumption of self-generated non-fuel renewable energy (MWh)</t>
  </si>
  <si>
    <t>11) Total renewable energy consumption (MWh) (calculated as the sum of lines 8 to 10)</t>
  </si>
  <si>
    <t>Share of renewable sources in total  energy consumption (%)</t>
  </si>
  <si>
    <t>Total energy consumption (MWh) (calculated as the sum of lines 6, 7 and 11)</t>
  </si>
  <si>
    <t>Total energy consumption from activities in high climate impact sectors (MWh)</t>
  </si>
  <si>
    <t>Net revenue from activities in high climate impact sectors (EUR)</t>
  </si>
  <si>
    <t>Total energy consumption from activities in high climate impact sectors per net revenue from activities in high climate impact sectors (MWh/Monetary unit)</t>
  </si>
  <si>
    <t>Net revenue from activities in high climate impact sectors used to calculate energy intensity</t>
  </si>
  <si>
    <t>Total net revenue (Financial statements)</t>
  </si>
  <si>
    <t>Characteristics of  RHIM's employees</t>
  </si>
  <si>
    <t>Employees by gender</t>
  </si>
  <si>
    <t>Employee per country</t>
  </si>
  <si>
    <t>Türkiye</t>
  </si>
  <si>
    <t>United Arab Emirates</t>
  </si>
  <si>
    <t>Health and safety metrics</t>
  </si>
  <si>
    <t>Total hours worked</t>
  </si>
  <si>
    <t>Health and safety targets</t>
  </si>
  <si>
    <t>LTIFR (Lost time injury frequency per 200,000 hours worked)</t>
  </si>
  <si>
    <t>TRIF (Total Recordable Injury Frequency Rates per 200,000 hours worked)</t>
  </si>
  <si>
    <t>TRIFR (Total Recordable Injury Frequency Rates per 1,000,000 hours worked)</t>
  </si>
  <si>
    <t xml:space="preserve">Target 2025: Maintain LTIF at &lt;0.3 per 200,000 worked hours </t>
  </si>
  <si>
    <t>Target 2030: Maintain TRIFR  &lt;2.0 (per 1 000 000 hour)</t>
  </si>
  <si>
    <t>(goal: Zero harm - No injuries)</t>
  </si>
  <si>
    <t>Health and safety restatements</t>
  </si>
  <si>
    <t>Restatement</t>
  </si>
  <si>
    <t>Published</t>
  </si>
  <si>
    <t xml:space="preserve">The percentage of people in its own workforce who are covered by the Group's health and safety management system based on legal requirements and/or recognised standards or guidelines </t>
  </si>
  <si>
    <t>The number of fatalities as a result of work-related injuries and work-related ill health</t>
  </si>
  <si>
    <t>Employees + non employees</t>
  </si>
  <si>
    <t>Other workers</t>
  </si>
  <si>
    <t xml:space="preserve">The number of recordable work-related accidents </t>
  </si>
  <si>
    <t>Rate of recordable work-related injuries (per 1,000,000 hours)</t>
  </si>
  <si>
    <t>Total hours</t>
  </si>
  <si>
    <t>Incidents, complaints and severe human rights impacts</t>
  </si>
  <si>
    <t>Number of severe human rights issues and incidents connected to own workforce that are cases of non-respect of UN Guiding Principles and OECD Guidelines for Multinational Enterprises</t>
  </si>
  <si>
    <t>OWN WORKFORCE - DIVERSITY</t>
  </si>
  <si>
    <t>Gender Distribution of Employees (Head Count) at Top Management Level</t>
  </si>
  <si>
    <t>Distribution of Employeess (Head Count) by Age Group</t>
  </si>
  <si>
    <t>5 (66%)</t>
  </si>
  <si>
    <t>3 (33%)</t>
  </si>
  <si>
    <t>Executive Management Team</t>
  </si>
  <si>
    <t>Board and Senior Leadership</t>
  </si>
  <si>
    <t>Financial year 2025</t>
  </si>
  <si>
    <t>KPI</t>
  </si>
  <si>
    <t>Proportion 
of 
Taxonomy 
eligible 
activities</t>
  </si>
  <si>
    <t>Taxonomy 
aligned 
activities</t>
  </si>
  <si>
    <t>Proportion of 
Taxonomy 
aligned 
activities</t>
  </si>
  <si>
    <t xml:space="preserve">Breakdown by environmental objectives of Taxonomy aligned activities </t>
  </si>
  <si>
    <t>Proportion 
of 
enabling 
activities</t>
  </si>
  <si>
    <t>Proportion 
of
transitional 
activities</t>
  </si>
  <si>
    <t>Not assessed 
activities 
considered 
non-material</t>
  </si>
  <si>
    <t>Taxonomy 
aligned 
activities in 
previous 
financial year
(N-1)</t>
  </si>
  <si>
    <t>Proportion of 
Taxonomy 
aligned 
activities
in previous 
financial year
(N-1)</t>
  </si>
  <si>
    <t>Climate Change Mitigation</t>
  </si>
  <si>
    <t>Climate Change Adaptation</t>
  </si>
  <si>
    <t>(1)</t>
  </si>
  <si>
    <t>(2)</t>
  </si>
  <si>
    <t>(3)</t>
  </si>
  <si>
    <t>(4)</t>
  </si>
  <si>
    <t>(5)</t>
  </si>
  <si>
    <t>(6)</t>
  </si>
  <si>
    <t>(7)</t>
  </si>
  <si>
    <t>(8)</t>
  </si>
  <si>
    <t>(9)</t>
  </si>
  <si>
    <t>(10)</t>
  </si>
  <si>
    <t>(11)</t>
  </si>
  <si>
    <t>(12)</t>
  </si>
  <si>
    <t>(13)</t>
  </si>
  <si>
    <t>(14)</t>
  </si>
  <si>
    <t>(15)</t>
  </si>
  <si>
    <t>(16)</t>
  </si>
  <si>
    <t>Text</t>
  </si>
  <si>
    <t>€ million</t>
  </si>
  <si>
    <t>CapEx</t>
  </si>
  <si>
    <t>OpEx</t>
  </si>
  <si>
    <t>Explanatory notes for Proportion of turnover, CapEx, OpEx from products or services associated with Taxonomy-eligible and Taxonomy-aligned economic activities:</t>
  </si>
  <si>
    <t>(1) refers to cross-cutting activities and related additions to property, plant and equipment.</t>
  </si>
  <si>
    <t>(2) refers to cross-cutting activities covering buildings incl. energy efficient equipment for buildings as well as cars &amp; light commercial vehicles.</t>
  </si>
  <si>
    <t>(3) amount restated.</t>
  </si>
  <si>
    <t xml:space="preserve">Financial year 2025 </t>
  </si>
  <si>
    <t>Economic Activities</t>
  </si>
  <si>
    <t>Code</t>
  </si>
  <si>
    <t>Taxonomy 
eligible KPI 
(Proportion 
of Taxonomy 
eligible Turnover)</t>
  </si>
  <si>
    <t>Taxonomy 
aligned KPI 
(monetary 
value of Turnover)</t>
  </si>
  <si>
    <t>Taxonomy 
aligned KPI 
(Proportion 
of Taxonomy 
aligned 
Turnover)</t>
  </si>
  <si>
    <t>Environmental objective of Taxonomy aligned activities</t>
  </si>
  <si>
    <t>Enabling 
activity</t>
  </si>
  <si>
    <t>Transitional
activity</t>
  </si>
  <si>
    <t>Proportion of 
Taxonomy 
aligned in 
Taxonomy 
eligible</t>
  </si>
  <si>
    <t>(E where applicable)</t>
  </si>
  <si>
    <t>(T where applicable)</t>
  </si>
  <si>
    <t>CCM/CCA 3.6</t>
  </si>
  <si>
    <t>CCM/CCA 5.9</t>
  </si>
  <si>
    <t>Conservation including restoration of habitats, ecosystems and species</t>
  </si>
  <si>
    <t>Acquisition and ownership of buildings</t>
  </si>
  <si>
    <t>CCM/CCA 7.7</t>
  </si>
  <si>
    <t>Sum of alignment per objective</t>
  </si>
  <si>
    <t>Total KPI Turnover</t>
  </si>
  <si>
    <t>Taxonomy 
eligible KPI 
(Proportion 
of Taxonomy 
eligible CapEx)</t>
  </si>
  <si>
    <t>Taxonomy 
aligned KPI 
(monetary 
value of CapEx)</t>
  </si>
  <si>
    <t>Taxonomy 
aligned KPI 
(Proportion 
of 
Taxonomy 
aligned 
CapEx)</t>
  </si>
  <si>
    <t xml:space="preserve">Total KPI CapEx </t>
  </si>
  <si>
    <t>Taxonomy 
eligible KPI 
(Proportion 
of Taxonomy 
eligible 
OpEx)</t>
  </si>
  <si>
    <t>Taxonomy 
aligned KPI 
(monetary 
value of 
OpEx)</t>
  </si>
  <si>
    <t>Taxonomy 
aligned KPI 
(Proportion 
of 
Taxonomy 
aligned 
OpEx)</t>
  </si>
  <si>
    <t>Total KPI OpEx</t>
  </si>
  <si>
    <r>
      <t xml:space="preserve">9.3% </t>
    </r>
    <r>
      <rPr>
        <vertAlign val="superscript"/>
        <sz val="11"/>
        <color theme="4" tint="-0.499984740745262"/>
        <rFont val="Neutrif Pro"/>
        <family val="3"/>
      </rPr>
      <t>(1)</t>
    </r>
  </si>
  <si>
    <r>
      <t xml:space="preserve">2.3% </t>
    </r>
    <r>
      <rPr>
        <vertAlign val="superscript"/>
        <sz val="11"/>
        <color theme="4" tint="-0.499984740745262"/>
        <rFont val="Neutrif Pro"/>
        <family val="3"/>
      </rPr>
      <t>(3)</t>
    </r>
  </si>
  <si>
    <r>
      <t xml:space="preserve">8.1% </t>
    </r>
    <r>
      <rPr>
        <vertAlign val="superscript"/>
        <sz val="11"/>
        <color theme="4" tint="-0.499984740745262"/>
        <rFont val="Neutrif Pro"/>
        <family val="3"/>
      </rPr>
      <t>(2)</t>
    </r>
  </si>
  <si>
    <t>Employees by region</t>
  </si>
  <si>
    <t>Headcount broken down  per gender and type of employment*</t>
  </si>
  <si>
    <r>
      <t xml:space="preserve">n.a. </t>
    </r>
    <r>
      <rPr>
        <vertAlign val="superscript"/>
        <sz val="11"/>
        <color theme="1"/>
        <rFont val="Neutrif Pro"/>
        <family val="3"/>
      </rPr>
      <t>1)</t>
    </r>
  </si>
  <si>
    <t>Headcount broken down  per region and type of employment*</t>
  </si>
  <si>
    <r>
      <rPr>
        <vertAlign val="superscript"/>
        <sz val="8"/>
        <color theme="1"/>
        <rFont val="Neutrif Pro"/>
        <family val="3"/>
      </rPr>
      <t>1</t>
    </r>
    <r>
      <rPr>
        <sz val="8"/>
        <color theme="1"/>
        <rFont val="Neutrif Pro"/>
        <family val="3"/>
      </rPr>
      <t>) 1109 employees (there of 663 Eastern Europe and 446 Western Europe) had the type of contract as "Undefined": not all data is available yet for the employees of the new acquisitions in 2023</t>
    </r>
  </si>
  <si>
    <t>Number of employee turnover by levae category (excluding seasonal staff)</t>
  </si>
  <si>
    <t>COMMUNITY INVESTMENT</t>
  </si>
  <si>
    <t>Community Investment by Region, %</t>
  </si>
  <si>
    <t>Community Investment Approvals by Focus area, %</t>
  </si>
  <si>
    <t>Maintain lost time injury frequency (LTIF) below 0.3 per 200,000 hours worked by 2025 and have total recordable injury frequency rate below 2 per 1,000,000 hours worked by 2030; 
The ulitmate goal is Zero Harm - No Injuries</t>
  </si>
  <si>
    <t>Negative: Operations potentially expose employees and contractors to health and safety risk.</t>
  </si>
  <si>
    <t xml:space="preserve">Lost Time Injury Frequency  Rate (LTIFR)               
Total recordable injury frequency rate (TRIFR) </t>
  </si>
  <si>
    <t xml:space="preserve">Health and safety remains RHI Magnesita’s highest social priority due to the high-risk nature of its operations. In 2025, the Group progressed its Safety Culture Transformation programme, invested €10 million in health and safety,  strengthening leadership accountability, frontline engagement and the consistent application of life-saving rules and critical controls.The Safety Culture transformation added c.200  customer sites and production sites from acquisitions. It even led to an increase in reports from existing sites. LTIFR closed at 0.37 in 2025 above the target set as of &lt;0.3 and TRIFR closed the year at 4.09; and one fatality was recorded as a result of work related injury.Key initiatives focused on Visible Felt Leadership, behaviour-related Life-Saving Rules, and Standard Operating Procedures to manage the Company’s top risks and prevent Serious Injuries and Fatalities. </t>
  </si>
  <si>
    <t>Committed to supporting gender equity 
in our workplace on all levels</t>
  </si>
  <si>
    <t>Diversity, Equity &amp; Inclusion are embedded in our culture. By promoting gender equity and equal opportunities at all levels, we strengthen decision-making and support sustainable 
business performances. Gender balance enables diverse perspectives, strengthens decision-making, and supports an inclusive, high-performing workplace. We are committed to pay equity, ensuring no gender based wage disparities for employees in comparable roles and responsibilities.</t>
  </si>
  <si>
    <t xml:space="preserve">SDG 3 – Good health and wellbeing
</t>
  </si>
  <si>
    <t>SDG 7 –Affordable and Clean Energy</t>
  </si>
  <si>
    <t>Board gender diversity equal or above 33% 
Women in senior leadership roles equal or above 
33% by 2025</t>
  </si>
  <si>
    <t>5% energy consumption reduction per tonne of product (MWh/t) by 2025
1% energy consumption reduction in MWh per year until 2030</t>
  </si>
  <si>
    <t>Reducing energy consumption per tonne of product improves operational energy efficiency and lowers the overall energy intensity of production. This contributes to reduced greenhouse gas emissions, supports cost efficiency and strengthens resilience to energy price volatility. At the same time, achieving these improvements may require investments in process optimisation and technology upgrades, particularly in energy-intensive industrial operations where efficiency gains can be technically challenging.
A continuous annual reduction in total energy consumption supports long-term improvements in energy efficiency and contributes to lowering the company’s overall energy demand. This helps reduce emissions and strengthens alignment with SDG 7 by promoting more efficient energy use across operations. However, maintaining consistent yearly reductions requires strong operational management, monitoring systems and sustained efficiency initiatives, particularly as production levels or operational complexity evolve.</t>
  </si>
  <si>
    <t>RHI Magnesita operates exclusively in high climate-impact sectors, with all revenue classified accordingly. Energy production comprises 1,000 MWh from non-renewable and 3,600 MWh 
from renewable sources. A 9%reduction in energy consumption per ton achieved against the 2018 baseline year and 0.84% achieved against baseline 2024.</t>
  </si>
  <si>
    <t xml:space="preserve">5% energy consumption reduction per tonne of product (MWh/t) by 2025 over 2018 baseline
1% energy consumption reduction in MWh per year until 2030 over 2024 baseline </t>
  </si>
  <si>
    <t xml:space="preserve">Youth development through community relations strategy (see SDG 11)
Health &amp; Safety KPI (see SDG 3)
Quality Education (see SDG 4)
</t>
  </si>
  <si>
    <t>Sponsoring Education and Youth Development in the communities where we operate
Offering apprenticeship opportunities, investment on skill development program
Offering supplier training on website</t>
  </si>
  <si>
    <t>Sponsoring Education and Youth Development 
Trainee program
Supplier training program</t>
  </si>
  <si>
    <t>Positive: Supporting education in our communities helps to improve children’s quality of life and future prospects.
Positive: Supporting capacitation and skill development among employees
Positive: Enhancing awareness of suppliers regardings ESG topics and RHIM policies and standards</t>
  </si>
  <si>
    <t>RHI Magnesita supports Sustainable Development Goal 4 – Quality Education – by promoting inclusive, equitable, and life-long learning. We enable all employees, regardless of role or location, to develop current skills and build capabilities for the future. In 2025, our contributions included providing broad access to the RHIM Learning Academy, LinkedIn Learning, and the UN Learning Academy, expanding access to qualified teachers for disadvantaged students, and training suppliers through dedicated learning content available on our website. 80% of community investment focused on education and youth development; More than 700 downloads of supplier training documents were recorded since its launch in the begginning of 2025.</t>
  </si>
  <si>
    <t xml:space="preserve">Invest 2% of annual sales in R&amp;D and Technical Marketing
Achieve 20% of recycling rate by 2030 versus 2024 levels
Reduction of 10% of Scope 1, 2, 3 emissions (raw materials) per ton by 2030 versus 2024 levels
</t>
  </si>
  <si>
    <t xml:space="preserve">Share of annual sales invested in R&amp;D and Technical Marketing
Recycling rate (%)
Carbon intensity for scope 1,2.3 (raw materials) per tonne of product
</t>
  </si>
  <si>
    <t xml:space="preserve">
83m Euros for R&amp;D and Technical Marketing
RHI Magnesita’s climate strategy balances decarbonisation ambition with the technical constraints of long-lived, energy-intensive refractory production.
Increasing the use of recycled and secondary raw materials is the Group’s key near-term decarbonisation lever, reducing emissions and strengthening supply security. In parallel, RHI Magnesita is preparing for future technologies, including alternative fuels,  electrification, hydrogen-based firing and carbon capture and utilisation. To date, 10m€ invested in  CCU technology.</t>
  </si>
  <si>
    <t xml:space="preserve">Investing directly and indirectly to Education &amp; Youth Development, Health &amp; Medical care 
and Environment - Community Relations Pillars </t>
  </si>
  <si>
    <t>1% of Group annual net profit to support Community Investments</t>
  </si>
  <si>
    <t xml:space="preserve">In 2025, RHI Magnesita spent over €1,5 million in community projects – Almost 80% of investments done in Education and Youth development. 
</t>
  </si>
  <si>
    <t xml:space="preserve">See our modern slavery statement 2025 on the website.
See our community initiatives on the website
See our supplier training program on the website
</t>
  </si>
  <si>
    <t>Achieve 15% of recycling rate by 2025
Achieve 20% of recycling rate by 2030</t>
  </si>
  <si>
    <t>Committed to increase the usage of recycled materials and promote and develop the circular economy wherever possible</t>
  </si>
  <si>
    <t>In 2025, the Group advanced recycling through targeted process 
and technology improvements across regions, increasing the use of recycled materials while maintaining product quality. 
Recycling reached 15.9%, supporting the 2030 target of 20% and delivering meaningful CO2 reductions. Progress toward the 2030 recycling target is supported by organic growth, regional recycling hubs, and expanded partnerships, including a joint venture in North America.</t>
  </si>
  <si>
    <t xml:space="preserve">Committed to minimize direct and indirect 
CO2 and other greenhouse gas emissions </t>
  </si>
  <si>
    <t>Reduction of CO2 emissions by 15% per tonne of product – Scope 1, 2, 3 (raw materials) by 2025 over 2018 baseline
Reduction of CO2 emissions by 10% per tonne of product – Scope 1, 2, 3 (raw materials) by 2030 over 2024 baseline</t>
  </si>
  <si>
    <t>Negative: Energy-intensive production and CO2 emissions from raw materials result in CO2 intensive products                                         
Positive: Refractory products are enablers for materials which are needed for the green transition (e.g. copper).</t>
  </si>
  <si>
    <t>Positive: Increasing the circularity of our business will help reduce both our use of primary raw materials and  CO2 emissions.</t>
  </si>
  <si>
    <t>The Group achieved its 2025 target of a 15% reduction in CO2 intensity per tonne of product, reaching a reduction of 15% compared to the 2018 base year. This improvement was primarily 
driven by increased use of secondary raw materials, operational efficiency measures, and lower short-term plant utilisation, which partially offset slower progress in fuel switching.
The Group progressed its decarbonisation roadmap through expanded recycling, energy efficiency measures, increased renewable energy use, and targeted investments in circular 
raw materials. Additionally, the Group advanced key technology pathways and partnerships to address hard-to-abate emissions, including Green Minerals Initiative, which includes a pilot plant in  Australia and preparation for commercial deployment in Austria from 2029. Overall, €4.5 million was invested in CO2 reduction measures, reinforcing alignment with a low-carbon transition.</t>
  </si>
  <si>
    <t>Committed to minimize any other emissions, pollution, during operation or at our customers sites which could adversely affect humans, 
or the environment</t>
  </si>
  <si>
    <t>RHI Magnesita aims to minimise emissions, pollution and substance releases to protect people, nature and the environment</t>
  </si>
  <si>
    <t>Positive: Reduce negative effects of air emissions to the environment, people and nature</t>
  </si>
  <si>
    <t>In 2025, several targeted initiatives were implemented to reduce air pollution across the Group’s global core operations. Actions completed during the reporting year focused on reducing  dust emissions and occupational exposure, supporting the Group’s commitment to health protection and environmental standards.</t>
  </si>
  <si>
    <t>Seeking to be preferable partner on low carbon economy through carbon and recycling technologies
Community Relations Pillars (Youth development, Education and Environment)</t>
  </si>
  <si>
    <t>ReSourCe project
MCi Project
Joint Ventures for Recycling</t>
  </si>
  <si>
    <t>Hazardous (tonnes)</t>
  </si>
  <si>
    <t>Non-hazardous (tonnes)</t>
  </si>
  <si>
    <t>Total (tonnes)</t>
  </si>
  <si>
    <t>RHIM does not back down on community support during challenging market conditions</t>
  </si>
  <si>
    <t>▪Contribution in Brazil decreased from 39% to 19% due to lower amount for tax incentives in 2025 compared to 2024.</t>
  </si>
  <si>
    <t>▪India will meet 2% average net profit of the three prior years for FY25-26; no spending will be allocated to the Prime Minister’s National Relief Fund.</t>
  </si>
  <si>
    <t>▪Education &amp; Youth Development remains largest pillar by spending (63%) and environmental pillar remains underrepresented. Not all initiatives have costs – large clothing donation action in China e.g.</t>
  </si>
  <si>
    <t>▪North America increased from 6% to 18% due to the contributions to the Chabad Community from the Vienna headquarters and their continued support to trusted partners.</t>
  </si>
  <si>
    <t>▪The support in North America region will grow significantly in 2026, due to a newly established centralized budget (USA &amp; Canada) of 200k EUR annually. It is likely to go down again in 2028 because 2027 will be the last year we support the Chabad Community. </t>
  </si>
  <si>
    <t>▪Türkiye dedicated 65.000+ EUR to communities in 2025: META is considering to establish a centralized budget + the first donation from META HQ in Dubai</t>
  </si>
  <si>
    <t xml:space="preserve">META </t>
  </si>
  <si>
    <t>Total GHG emissions (location-based) per net revenue (tCO2eq/Monetary unit)</t>
  </si>
  <si>
    <t>Total GHG emissions (market-based) per net revenue (tCO2eq/Monetary unit)</t>
  </si>
  <si>
    <t>Total GHG emissions (location-based) (tCO2e)</t>
  </si>
  <si>
    <t>Total GHG emissions (market-based) (tCO2e)</t>
  </si>
  <si>
    <t>% (N / N-1)</t>
  </si>
  <si>
    <t>ISO 14001</t>
  </si>
  <si>
    <t>ISO 9001</t>
  </si>
  <si>
    <t>ISO 50001</t>
  </si>
  <si>
    <t>ISO 45001</t>
  </si>
  <si>
    <t>Sustainability Statement 2025</t>
  </si>
  <si>
    <t>Taxonomy (Summary)</t>
  </si>
  <si>
    <t>Taxonomy Revenue</t>
  </si>
  <si>
    <t>Taxonomy CapEx</t>
  </si>
  <si>
    <t>Taxonomy OpEx</t>
  </si>
  <si>
    <t>Back to Table of Contents</t>
  </si>
  <si>
    <t>TRANSITIONAL CLIMATE RISKS AND OPPORTUNITIES</t>
  </si>
  <si>
    <t xml:space="preserve">HUMAN RIGHTS </t>
  </si>
  <si>
    <t>OWN WORKFORCE BY REGION</t>
  </si>
  <si>
    <t>OWN WORKFORCE BY COUNTRY</t>
  </si>
  <si>
    <t>RHI MAGNESITA CONTRIBUTIONS TO THE UN SUSTAINABLE DEVELOPMENT GOALS (SDGs)</t>
  </si>
  <si>
    <t>Energy methodology</t>
  </si>
  <si>
    <t>Physical Climate Risks</t>
  </si>
  <si>
    <t>Transitional Climate Risks and Opportunities</t>
  </si>
  <si>
    <t xml:space="preserve"> AIR EMISSIONS</t>
  </si>
  <si>
    <t xml:space="preserve">t Other air emissions </t>
  </si>
  <si>
    <t>Air emissions reporting methodology at RHI Magnesita</t>
  </si>
  <si>
    <t>Air emissions</t>
  </si>
  <si>
    <t>Human Rights</t>
  </si>
  <si>
    <t>Own Workforce by Country</t>
  </si>
  <si>
    <t>Own Workforce by Region</t>
  </si>
  <si>
    <t>CERTIFICATIONS &amp; REPORTING</t>
  </si>
  <si>
    <t>Modern Slavery Statement</t>
  </si>
  <si>
    <t>PEOPLE</t>
  </si>
  <si>
    <t>SUSTAINABLE PROCUREMENT</t>
  </si>
  <si>
    <t>EcoVadis Supplier Assessment</t>
  </si>
  <si>
    <t>2030T *</t>
  </si>
  <si>
    <t>% Spend coverage</t>
  </si>
  <si>
    <t>* - 2030 target  includes on-site assessments and also other providers next to EcoVadis</t>
  </si>
  <si>
    <t>EcoVadis Supplier Assessment coverage per region (by spend)</t>
  </si>
  <si>
    <t>APAC</t>
  </si>
  <si>
    <t>Sustainability on-site assessments</t>
  </si>
  <si>
    <r>
      <rPr>
        <vertAlign val="superscript"/>
        <sz val="8"/>
        <color theme="1"/>
        <rFont val="Calibri"/>
        <family val="2"/>
        <scheme val="minor"/>
      </rPr>
      <t>1)</t>
    </r>
    <r>
      <rPr>
        <sz val="8"/>
        <color theme="1"/>
        <rFont val="Calibri"/>
        <family val="2"/>
        <scheme val="minor"/>
      </rPr>
      <t xml:space="preserve"> Regional structure update: The region formerly referred to as SAM has been renamed LATAM. Additionally, Mexico has been reallocated from NAM to LATAM.</t>
    </r>
  </si>
  <si>
    <t>Supply Chain Due Diligence</t>
  </si>
  <si>
    <t>META</t>
  </si>
  <si>
    <t>Compliance Training by region</t>
  </si>
  <si>
    <r>
      <t xml:space="preserve">2025 </t>
    </r>
    <r>
      <rPr>
        <b/>
        <vertAlign val="superscript"/>
        <sz val="12"/>
        <color theme="0"/>
        <rFont val="Calibri"/>
        <family val="2"/>
        <scheme val="minor"/>
      </rPr>
      <t>(1)</t>
    </r>
  </si>
  <si>
    <r>
      <rPr>
        <vertAlign val="superscript"/>
        <sz val="8"/>
        <color theme="1"/>
        <rFont val="Calibri"/>
        <family val="2"/>
        <scheme val="minor"/>
      </rPr>
      <t>(1)</t>
    </r>
    <r>
      <rPr>
        <sz val="8"/>
        <color theme="1"/>
        <rFont val="Calibri"/>
        <family val="2"/>
        <scheme val="minor"/>
      </rPr>
      <t>In 2025, the Group reorganized its regional business units. A new “Middle East, Türkiye and Africa” (META) region was created; the former “India, West Asia and Africa” region was renamed “India” and is now focused solely on India; the “South America” region was renamed “Latin America”; and Mexico was reallocated from “North America” to “Latin America”. The regional information presented above reflects the comparative data for 2024 based on the previous regional structure, while the 2025 data has been prepared in accordance with the new regional structure.</t>
    </r>
  </si>
  <si>
    <t>Number of governance body members and employees informed of Group Anti-corruption policies and procedures</t>
  </si>
  <si>
    <t>META (Middle East, Türkiye and Africa)</t>
  </si>
  <si>
    <t>Whistlelower reports as of 31 Dec</t>
  </si>
  <si>
    <t>Out of these, classified as case reports and investigated</t>
  </si>
  <si>
    <t>Out of these, classified under category "Bribery &amp; Corruption"</t>
  </si>
  <si>
    <r>
      <t xml:space="preserve">Out of these, classified as non-case reports </t>
    </r>
    <r>
      <rPr>
        <vertAlign val="superscript"/>
        <sz val="11"/>
        <color theme="1"/>
        <rFont val="Calibri"/>
        <family val="2"/>
        <scheme val="minor"/>
      </rPr>
      <t>(2)</t>
    </r>
  </si>
  <si>
    <r>
      <rPr>
        <vertAlign val="superscript"/>
        <sz val="8"/>
        <color theme="1"/>
        <rFont val="Calibri"/>
        <family val="2"/>
        <scheme val="minor"/>
      </rPr>
      <t>(2)</t>
    </r>
    <r>
      <rPr>
        <sz val="8"/>
        <color theme="1"/>
        <rFont val="Calibri"/>
        <family val="2"/>
        <scheme val="minor"/>
      </rPr>
      <t xml:space="preserve"> Submissions are classified as non-case reports where they cannot be processed as a case due to the absence of minimum information required for assessment or follow-up. This includes submissions with no factual description of an issue, no recorded content or supporting documentation, no identifiable concern or allegation, or submissions in which the communication line is mute or blank.</t>
    </r>
  </si>
  <si>
    <t xml:space="preserve">Compliance Indicators </t>
  </si>
  <si>
    <t>Number of confirmed incidents of corruption or bribery during the reporting period</t>
  </si>
  <si>
    <t>Number of risk assessments - including plants and mines (100% coverage)</t>
  </si>
  <si>
    <t xml:space="preserve"> CORRUPTION AND BRIBERY</t>
  </si>
  <si>
    <t>Corruption and Bribery</t>
  </si>
  <si>
    <t>The RHI Magnesita Sustainability Data Pack provides a concise and transparent overview of key ESG metrics that are most relevant to our stakeholders and our business. It brings together historical performance data, targets, and certifications to support informed decision-making and stakeholder engagement. More detailed information on our sustainability strategy, governance, and performance is available in the Sustainability section of our website and in our Annual Reports.
Our integrated management system is certified according to internationally recognized standards, covering environmental management (ISO 14001), occupational health and safety (ISO 45001), quality management (ISO 9001), and energy management (ISO 50001). To strengthen the credibility and reliability of our disclosures, selected sustainability data was externally assured in FY 2025.
RHI Magnesita reports in alignment with the European Sustainability Reporting Standards (ESRS). As a signatory to the United Nations Global Compact (UNGC) since 2018, we annually disclose our progress and contributions toward the UN Sustainable Development Goals (SDGs) most relevant to our operations.
We apply the operational control approach for data consolidation, accounting for greenhouse gas (GHG) emissions and removals from operations under our full operational control within the respective reporting year. Newly acquired or constructed facilities are included from their first full calendar year of operation.
Please note that certain indicators are updated on an annual basis only.
For further information or inquiries, please contact: sustainability@rhimagnesita.com</t>
  </si>
  <si>
    <t>TARGETS RELATED TO CLIMATE</t>
  </si>
  <si>
    <t>TARGETS RELATED TO ENERGY</t>
  </si>
  <si>
    <t>GHG EMISSIONS</t>
  </si>
  <si>
    <t>PHYSICAL CLIMATE RISK EXPOSURE</t>
  </si>
  <si>
    <t>RESOURCE USE AND WASTE</t>
  </si>
  <si>
    <r>
      <t>Proportion of</t>
    </r>
    <r>
      <rPr>
        <b/>
        <u/>
        <sz val="14"/>
        <color rgb="FFFF0000"/>
        <rFont val="72 Black"/>
        <family val="2"/>
      </rPr>
      <t xml:space="preserve"> turnover, CapEx, OpEx</t>
    </r>
    <r>
      <rPr>
        <b/>
        <sz val="14"/>
        <color rgb="FFFF0000"/>
        <rFont val="72 Black"/>
        <family val="2"/>
      </rPr>
      <t xml:space="preserve"> </t>
    </r>
    <r>
      <rPr>
        <b/>
        <sz val="14"/>
        <color theme="4" tint="-0.499984740745262"/>
        <rFont val="72 Black"/>
        <family val="2"/>
      </rPr>
      <t>from products or services associated with Taxonomy-eligible and Taxonomy-aligned economic activities –  2025 (</t>
    </r>
    <r>
      <rPr>
        <b/>
        <sz val="14"/>
        <color rgb="FFFF0000"/>
        <rFont val="72 Black"/>
        <family val="2"/>
      </rPr>
      <t>summary KPIs</t>
    </r>
    <r>
      <rPr>
        <b/>
        <sz val="14"/>
        <color theme="4" tint="-0.499984740745262"/>
        <rFont val="72 Black"/>
        <family val="2"/>
      </rPr>
      <t>)</t>
    </r>
  </si>
  <si>
    <r>
      <t xml:space="preserve">Proportion of </t>
    </r>
    <r>
      <rPr>
        <b/>
        <u/>
        <sz val="14"/>
        <color rgb="FFFF0000"/>
        <rFont val="72 Black"/>
        <family val="2"/>
      </rPr>
      <t>turnover</t>
    </r>
    <r>
      <rPr>
        <b/>
        <sz val="14"/>
        <color theme="4" tint="-0.499984740745262"/>
        <rFont val="72 Black"/>
        <family val="2"/>
      </rPr>
      <t xml:space="preserve"> from products or services associated with Taxonomy-eligible or Taxonomy-aligned economic activities – 2025 (</t>
    </r>
    <r>
      <rPr>
        <b/>
        <sz val="14"/>
        <color rgb="FFFF0000"/>
        <rFont val="72 Black"/>
        <family val="2"/>
      </rPr>
      <t>activity breakdown</t>
    </r>
    <r>
      <rPr>
        <b/>
        <sz val="14"/>
        <color theme="4" tint="-0.499984740745262"/>
        <rFont val="72 Black"/>
        <family val="2"/>
      </rPr>
      <t>)</t>
    </r>
  </si>
  <si>
    <r>
      <t xml:space="preserve">Proportion of </t>
    </r>
    <r>
      <rPr>
        <b/>
        <u/>
        <sz val="14"/>
        <color rgb="FFFF0000"/>
        <rFont val="72 Black"/>
        <family val="2"/>
      </rPr>
      <t>CapEx</t>
    </r>
    <r>
      <rPr>
        <b/>
        <sz val="14"/>
        <color theme="4" tint="-0.499984740745262"/>
        <rFont val="72 Black"/>
        <family val="2"/>
      </rPr>
      <t xml:space="preserve"> from products or services associated with Taxonomy-eligible or Taxonomy-aligned economic activities –  2025 (</t>
    </r>
    <r>
      <rPr>
        <b/>
        <sz val="14"/>
        <color rgb="FFFF0000"/>
        <rFont val="72 Black"/>
        <family val="2"/>
      </rPr>
      <t>activity breakdown</t>
    </r>
    <r>
      <rPr>
        <b/>
        <sz val="14"/>
        <color theme="4" tint="-0.499984740745262"/>
        <rFont val="72 Black"/>
        <family val="2"/>
      </rPr>
      <t>)</t>
    </r>
  </si>
  <si>
    <r>
      <t xml:space="preserve">Proportion of </t>
    </r>
    <r>
      <rPr>
        <b/>
        <u/>
        <sz val="14"/>
        <color rgb="FFFF0000"/>
        <rFont val="72 Black"/>
        <family val="2"/>
      </rPr>
      <t>OpEx</t>
    </r>
    <r>
      <rPr>
        <b/>
        <sz val="14"/>
        <color theme="4" tint="-0.499984740745262"/>
        <rFont val="72 Black"/>
        <family val="2"/>
      </rPr>
      <t xml:space="preserve"> from products or services associated with Taxonomy-eligible or Taxonomy-aligned economic activities –  2025 (</t>
    </r>
    <r>
      <rPr>
        <b/>
        <sz val="14"/>
        <color rgb="FFFF0000"/>
        <rFont val="72 Black"/>
        <family val="2"/>
      </rPr>
      <t>activity breakdown</t>
    </r>
    <r>
      <rPr>
        <b/>
        <sz val="14"/>
        <color theme="4" tint="-0.499984740745262"/>
        <rFont val="72 Black"/>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</si>
</sst>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quot;_-;\-* #,##0.00\ &quot;€&quot;_-;_-* &quot;-&quot;??\ &quot;€&quot;_-;_-@_-"/>
    <numFmt numFmtId="43" formatCode="_-* #,##0.00_-;\-* #,##0.00_-;_-* &quot;-&quot;??_-;_-@_-"/>
    <numFmt numFmtId="164" formatCode="0.0%"/>
    <numFmt numFmtId="165" formatCode="0.0"/>
    <numFmt numFmtId="166" formatCode="_-* #,##0_-;\-* #,##0_-;_-* &quot;-&quot;??_-;_-@_-"/>
    <numFmt numFmtId="167" formatCode="_-* #,##0.00\ _€_-;\-* #,##0.00\ _€_-;_-* &quot;-&quot;??\ _€_-;_-@_-"/>
    <numFmt numFmtId="168" formatCode="_(* #,##0_);_(* \(#,##0\);_(* &quot;-&quot;??_);_(@_)"/>
    <numFmt numFmtId="169" formatCode="_(* #,##0.00_);_(* \(#,##0.00\);_(* &quot;-&quot;??_);_(@_)"/>
    <numFmt numFmtId="170" formatCode="#,##0.0;\-#,##0.0"/>
    <numFmt numFmtId="171" formatCode="_-* #,##0.0_-;\-* #,##0.0_-;_-* &quot;-&quot;??_-;_-@_-"/>
    <numFmt numFmtId="172" formatCode="_-* #,##0.00\ _X_D_R_-;\-* #,##0.00\ _X_D_R_-;_-* &quot;-&quot;??\ _X_D_R_-;_-@_-"/>
    <numFmt numFmtId="173" formatCode="_(* #,##0.00000_);_(* \(#,##0.00000\);_(* &quot;-&quot;??_);_(@_)"/>
    <numFmt numFmtId="174" formatCode="#,##0.000"/>
    <numFmt numFmtId="175" formatCode="_(* #,##0_);_(* \(#,##0\);_(* &quot;-&quot;_);_(@_)"/>
  </numFmts>
  <fonts count="122" x14ac:knownFonts="1">
    <font>
      <sz val="11"/>
      <color theme="1"/>
      <name val="Calibri"/>
      <family val="2"/>
      <scheme val="minor"/>
    </font>
    <font>
      <sz val="12"/>
      <color theme="1"/>
      <name val="Calibri"/>
      <family val="2"/>
      <scheme val="minor"/>
    </font>
    <font>
      <sz val="11"/>
      <color theme="1"/>
      <name val="Calibri"/>
      <family val="2"/>
      <scheme val="minor"/>
    </font>
    <font>
      <sz val="11"/>
      <color rgb="FF006100"/>
      <name val="Calibri"/>
      <family val="2"/>
      <scheme val="minor"/>
    </font>
    <font>
      <sz val="10"/>
      <color rgb="FF006100"/>
      <name val="Calibri"/>
      <family val="2"/>
      <scheme val="minor"/>
    </font>
    <font>
      <sz val="10"/>
      <color theme="1"/>
      <name val="Calibri"/>
      <family val="2"/>
      <scheme val="minor"/>
    </font>
    <font>
      <b/>
      <sz val="12"/>
      <color theme="1"/>
      <name val="Calibri"/>
      <family val="2"/>
      <scheme val="minor"/>
    </font>
    <font>
      <b/>
      <sz val="10"/>
      <color rgb="FF006100"/>
      <name val="Calibri"/>
      <family val="2"/>
      <scheme val="minor"/>
    </font>
    <font>
      <b/>
      <sz val="11"/>
      <color theme="1"/>
      <name val="Calibri"/>
      <family val="2"/>
      <scheme val="minor"/>
    </font>
    <font>
      <b/>
      <sz val="14"/>
      <color theme="1"/>
      <name val="Calibri"/>
      <family val="2"/>
      <scheme val="minor"/>
    </font>
    <font>
      <u/>
      <sz val="11"/>
      <color theme="10"/>
      <name val="Calibri"/>
      <family val="2"/>
      <scheme val="minor"/>
    </font>
    <font>
      <b/>
      <sz val="11"/>
      <color rgb="FF006100"/>
      <name val="Calibri"/>
      <family val="2"/>
      <scheme val="minor"/>
    </font>
    <font>
      <sz val="11"/>
      <color theme="1"/>
      <name val="Calibri"/>
      <family val="2"/>
    </font>
    <font>
      <b/>
      <u/>
      <sz val="14"/>
      <color theme="1"/>
      <name val="Calibri"/>
      <family val="2"/>
      <scheme val="minor"/>
    </font>
    <font>
      <b/>
      <sz val="10"/>
      <color theme="1"/>
      <name val="Calibri"/>
      <family val="2"/>
      <scheme val="minor"/>
    </font>
    <font>
      <sz val="10"/>
      <name val="Arial"/>
      <family val="2"/>
    </font>
    <font>
      <b/>
      <sz val="11"/>
      <color theme="0"/>
      <name val="Calibri"/>
      <family val="2"/>
      <scheme val="minor"/>
    </font>
    <font>
      <sz val="11"/>
      <color theme="0"/>
      <name val="Calibri"/>
      <family val="2"/>
      <scheme val="minor"/>
    </font>
    <font>
      <b/>
      <sz val="12"/>
      <color theme="0"/>
      <name val="Calibri"/>
      <family val="2"/>
      <scheme val="minor"/>
    </font>
    <font>
      <b/>
      <sz val="10"/>
      <color theme="0"/>
      <name val="Calibri"/>
      <family val="2"/>
      <scheme val="minor"/>
    </font>
    <font>
      <b/>
      <sz val="11"/>
      <name val="Calibri"/>
      <family val="2"/>
      <scheme val="minor"/>
    </font>
    <font>
      <sz val="12"/>
      <color theme="0"/>
      <name val="Calibri"/>
      <family val="2"/>
      <scheme val="minor"/>
    </font>
    <font>
      <sz val="12"/>
      <name val="Calibri"/>
      <family val="2"/>
      <scheme val="minor"/>
    </font>
    <font>
      <sz val="11"/>
      <color rgb="FFFF0000"/>
      <name val="Calibri"/>
      <family val="2"/>
      <scheme val="minor"/>
    </font>
    <font>
      <b/>
      <sz val="36"/>
      <color rgb="FF000000"/>
      <name val="Calibri"/>
      <family val="2"/>
      <scheme val="minor"/>
    </font>
    <font>
      <b/>
      <vertAlign val="superscript"/>
      <sz val="11"/>
      <color theme="1"/>
      <name val="Calibri"/>
      <family val="2"/>
      <scheme val="minor"/>
    </font>
    <font>
      <b/>
      <sz val="11"/>
      <color rgb="FFFF0000"/>
      <name val="Calibri"/>
      <family val="2"/>
      <scheme val="minor"/>
    </font>
    <font>
      <b/>
      <sz val="12"/>
      <color rgb="FFFF0000"/>
      <name val="Calibri"/>
      <family val="2"/>
      <scheme val="minor"/>
    </font>
    <font>
      <sz val="11"/>
      <name val="Calibri"/>
      <family val="2"/>
      <scheme val="minor"/>
    </font>
    <font>
      <sz val="11"/>
      <color rgb="FF000000"/>
      <name val="Calibri"/>
      <family val="2"/>
      <scheme val="minor"/>
    </font>
    <font>
      <sz val="11"/>
      <color theme="1"/>
      <name val="Times New Roman"/>
      <family val="1"/>
    </font>
    <font>
      <b/>
      <sz val="20"/>
      <color theme="1"/>
      <name val="Calibri"/>
      <family val="2"/>
      <scheme val="minor"/>
    </font>
    <font>
      <b/>
      <u/>
      <sz val="12"/>
      <color rgb="FFFF0000"/>
      <name val="Calibri"/>
      <family val="2"/>
      <scheme val="minor"/>
    </font>
    <font>
      <sz val="8"/>
      <name val="Calibri"/>
      <family val="2"/>
      <scheme val="minor"/>
    </font>
    <font>
      <sz val="11"/>
      <color rgb="FF00B050"/>
      <name val="Calibri"/>
      <family val="2"/>
      <scheme val="minor"/>
    </font>
    <font>
      <sz val="10"/>
      <color theme="1"/>
      <name val="DM Sans"/>
      <family val="2"/>
      <charset val="1"/>
    </font>
    <font>
      <sz val="11"/>
      <color theme="1"/>
      <name val="Neutrif Pro"/>
      <family val="3"/>
    </font>
    <font>
      <sz val="11"/>
      <color theme="4"/>
      <name val="Calibri"/>
      <family val="2"/>
      <scheme val="minor"/>
    </font>
    <font>
      <sz val="11"/>
      <color theme="1"/>
      <name val="Calibri Light"/>
      <family val="2"/>
      <scheme val="major"/>
    </font>
    <font>
      <b/>
      <u/>
      <sz val="14"/>
      <color theme="1"/>
      <name val="Calibri Light"/>
      <family val="2"/>
      <scheme val="major"/>
    </font>
    <font>
      <b/>
      <sz val="11"/>
      <color theme="1"/>
      <name val="Calibri Light"/>
      <family val="2"/>
      <scheme val="major"/>
    </font>
    <font>
      <b/>
      <sz val="12"/>
      <color theme="0"/>
      <name val="Calibri Light"/>
      <family val="2"/>
      <scheme val="major"/>
    </font>
    <font>
      <b/>
      <sz val="12"/>
      <color theme="1"/>
      <name val="Calibri Light"/>
      <family val="2"/>
      <scheme val="major"/>
    </font>
    <font>
      <sz val="12"/>
      <color theme="1"/>
      <name val="Calibri Light"/>
      <family val="2"/>
      <scheme val="major"/>
    </font>
    <font>
      <sz val="12"/>
      <name val="Calibri Light"/>
      <family val="2"/>
      <scheme val="major"/>
    </font>
    <font>
      <vertAlign val="subscript"/>
      <sz val="12"/>
      <color theme="1"/>
      <name val="Calibri Light"/>
      <family val="2"/>
      <scheme val="major"/>
    </font>
    <font>
      <i/>
      <sz val="12"/>
      <color theme="1"/>
      <name val="Calibri Light"/>
      <family val="2"/>
      <scheme val="major"/>
    </font>
    <font>
      <b/>
      <sz val="12"/>
      <name val="Calibri Light"/>
      <family val="2"/>
      <scheme val="major"/>
    </font>
    <font>
      <b/>
      <sz val="12"/>
      <color theme="4"/>
      <name val="Calibri Light"/>
      <family val="2"/>
      <scheme val="major"/>
    </font>
    <font>
      <i/>
      <sz val="11"/>
      <color theme="1"/>
      <name val="Calibri Light"/>
      <family val="2"/>
      <scheme val="major"/>
    </font>
    <font>
      <sz val="10"/>
      <name val="Calibri Light"/>
      <family val="2"/>
      <scheme val="major"/>
    </font>
    <font>
      <b/>
      <sz val="10"/>
      <color theme="0"/>
      <name val="Calibri Light"/>
      <family val="2"/>
      <scheme val="major"/>
    </font>
    <font>
      <vertAlign val="subscript"/>
      <sz val="12"/>
      <color indexed="8"/>
      <name val="Calibri Light"/>
      <family val="2"/>
      <scheme val="major"/>
    </font>
    <font>
      <sz val="12"/>
      <color indexed="8"/>
      <name val="Calibri Light"/>
      <family val="2"/>
      <scheme val="major"/>
    </font>
    <font>
      <i/>
      <sz val="12"/>
      <color indexed="8"/>
      <name val="Calibri Light"/>
      <family val="2"/>
      <scheme val="major"/>
    </font>
    <font>
      <b/>
      <vertAlign val="superscript"/>
      <sz val="12"/>
      <color theme="0"/>
      <name val="Calibri Light"/>
      <family val="2"/>
      <scheme val="major"/>
    </font>
    <font>
      <vertAlign val="superscript"/>
      <sz val="12"/>
      <color theme="1"/>
      <name val="Calibri Light"/>
      <family val="2"/>
      <scheme val="major"/>
    </font>
    <font>
      <i/>
      <sz val="8"/>
      <name val="Calibri Light"/>
      <family val="2"/>
      <scheme val="major"/>
    </font>
    <font>
      <i/>
      <sz val="12"/>
      <name val="Calibri Light"/>
      <family val="2"/>
      <scheme val="major"/>
    </font>
    <font>
      <b/>
      <sz val="18"/>
      <color theme="1"/>
      <name val="Calibri Light"/>
      <family val="2"/>
      <scheme val="major"/>
    </font>
    <font>
      <b/>
      <sz val="14"/>
      <color rgb="FFFA781E"/>
      <name val="Calibri"/>
      <family val="2"/>
      <scheme val="minor"/>
    </font>
    <font>
      <b/>
      <sz val="11"/>
      <name val="Neutrif Pro"/>
      <family val="3"/>
    </font>
    <font>
      <vertAlign val="superscript"/>
      <sz val="11"/>
      <color theme="1"/>
      <name val="Neutrif Pro"/>
      <family val="3"/>
    </font>
    <font>
      <sz val="11"/>
      <name val="Neutrif Pro"/>
      <family val="3"/>
    </font>
    <font>
      <b/>
      <sz val="11"/>
      <color theme="1"/>
      <name val="Neutrif Pro"/>
      <family val="3"/>
    </font>
    <font>
      <b/>
      <sz val="10"/>
      <color rgb="FF485C6D"/>
      <name val="Neutrif Pro"/>
      <family val="3"/>
    </font>
    <font>
      <b/>
      <sz val="11"/>
      <color rgb="FF485C6D"/>
      <name val="Neutrif Pro"/>
      <family val="3"/>
    </font>
    <font>
      <vertAlign val="subscript"/>
      <sz val="11"/>
      <color theme="1"/>
      <name val="Neutrif Pro"/>
      <family val="3"/>
    </font>
    <font>
      <b/>
      <vertAlign val="subscript"/>
      <sz val="11"/>
      <color theme="1"/>
      <name val="Neutrif Pro"/>
      <family val="3"/>
    </font>
    <font>
      <sz val="11"/>
      <color rgb="FF000000"/>
      <name val="Neutrif Pro"/>
      <family val="3"/>
    </font>
    <font>
      <b/>
      <vertAlign val="subscript"/>
      <sz val="11"/>
      <name val="Neutrif Pro"/>
      <family val="3"/>
    </font>
    <font>
      <b/>
      <sz val="11"/>
      <color theme="0"/>
      <name val="Neutrif Pro"/>
      <family val="3"/>
    </font>
    <font>
      <sz val="11"/>
      <color rgb="FFFF0000"/>
      <name val="Neutrif Pro"/>
      <family val="3"/>
    </font>
    <font>
      <i/>
      <sz val="11"/>
      <color theme="1"/>
      <name val="Neutrif Pro"/>
      <family val="3"/>
    </font>
    <font>
      <vertAlign val="subscript"/>
      <sz val="11"/>
      <name val="Neutrif Pro"/>
      <family val="3"/>
    </font>
    <font>
      <i/>
      <sz val="11"/>
      <color rgb="FFFF0000"/>
      <name val="Neutrif Pro"/>
      <family val="3"/>
    </font>
    <font>
      <b/>
      <sz val="11"/>
      <color rgb="FFFF0000"/>
      <name val="Neutrif Pro"/>
      <family val="3"/>
    </font>
    <font>
      <sz val="11"/>
      <color theme="0"/>
      <name val="Neutrif Pro"/>
      <family val="3"/>
    </font>
    <font>
      <b/>
      <sz val="11"/>
      <color indexed="8"/>
      <name val="Neutrif Pro"/>
      <family val="3"/>
    </font>
    <font>
      <sz val="10"/>
      <name val="Neutrif Pro"/>
      <family val="3"/>
    </font>
    <font>
      <b/>
      <sz val="20"/>
      <color theme="1"/>
      <name val="Neutrif Pro"/>
      <family val="3"/>
    </font>
    <font>
      <b/>
      <i/>
      <sz val="11"/>
      <color theme="1"/>
      <name val="Neutrif Pro"/>
      <family val="3"/>
    </font>
    <font>
      <sz val="10"/>
      <color theme="1"/>
      <name val="Neutrif Pro"/>
      <family val="3"/>
    </font>
    <font>
      <sz val="11"/>
      <color rgb="FF485C6D"/>
      <name val="Neutrif Pro"/>
      <family val="3"/>
    </font>
    <font>
      <sz val="11"/>
      <color theme="1"/>
      <name val="Aptos Narrow"/>
      <family val="2"/>
    </font>
    <font>
      <sz val="12"/>
      <color theme="1"/>
      <name val="Neutrif Pro"/>
      <family val="3"/>
    </font>
    <font>
      <vertAlign val="subscript"/>
      <sz val="12"/>
      <color theme="1"/>
      <name val="Neutrif Pro"/>
      <family val="3"/>
    </font>
    <font>
      <sz val="8.5"/>
      <color rgb="FF485C6D"/>
      <name val="Neutrif Pro"/>
      <family val="3"/>
    </font>
    <font>
      <b/>
      <sz val="12"/>
      <name val="Neutrif Pro"/>
      <family val="3"/>
    </font>
    <font>
      <sz val="12"/>
      <color theme="0"/>
      <name val="Neutrif Pro"/>
      <family val="3"/>
    </font>
    <font>
      <b/>
      <sz val="18"/>
      <name val="Neutrif Pro"/>
      <family val="3"/>
    </font>
    <font>
      <sz val="11"/>
      <color theme="4" tint="-0.499984740745262"/>
      <name val="Neutrif Pro"/>
      <family val="3"/>
    </font>
    <font>
      <b/>
      <sz val="11"/>
      <color theme="4" tint="-0.499984740745262"/>
      <name val="Neutrif Pro"/>
      <family val="3"/>
    </font>
    <font>
      <vertAlign val="superscript"/>
      <sz val="11"/>
      <color theme="4" tint="-0.499984740745262"/>
      <name val="Neutrif Pro"/>
      <family val="3"/>
    </font>
    <font>
      <b/>
      <sz val="10"/>
      <color theme="4" tint="-0.499984740745262"/>
      <name val="Neutrif Pro"/>
      <family val="3"/>
    </font>
    <font>
      <b/>
      <sz val="9"/>
      <color indexed="81"/>
      <name val="Tahoma"/>
      <family val="2"/>
    </font>
    <font>
      <sz val="8"/>
      <color theme="1"/>
      <name val="Neutrif Pro"/>
      <family val="3"/>
    </font>
    <font>
      <vertAlign val="superscript"/>
      <sz val="8"/>
      <color theme="1"/>
      <name val="Neutrif Pro"/>
      <family val="3"/>
    </font>
    <font>
      <sz val="12"/>
      <color theme="4" tint="-0.499984740745262"/>
      <name val="Neutrif Pro"/>
      <family val="3"/>
    </font>
    <font>
      <sz val="14"/>
      <color theme="4" tint="-0.499984740745262"/>
      <name val="Neutrif Pro"/>
      <family val="3"/>
    </font>
    <font>
      <sz val="11"/>
      <color theme="4" tint="-0.499984740745262"/>
      <name val="Calibri"/>
      <family val="2"/>
      <scheme val="minor"/>
    </font>
    <font>
      <b/>
      <sz val="12"/>
      <color theme="4" tint="-0.499984740745262"/>
      <name val="Calibri"/>
      <family val="2"/>
      <scheme val="minor"/>
    </font>
    <font>
      <sz val="10"/>
      <name val="72 Black"/>
      <family val="2"/>
    </font>
    <font>
      <b/>
      <sz val="24"/>
      <color theme="4" tint="-0.499984740745262"/>
      <name val="72 Black"/>
      <family val="2"/>
    </font>
    <font>
      <b/>
      <sz val="36"/>
      <color theme="4" tint="-0.499984740745262"/>
      <name val="72 Black"/>
      <family val="2"/>
    </font>
    <font>
      <u/>
      <sz val="10"/>
      <color theme="10"/>
      <name val="Calibri"/>
      <family val="2"/>
      <scheme val="minor"/>
    </font>
    <font>
      <i/>
      <sz val="10"/>
      <color theme="1"/>
      <name val="Calibri"/>
      <family val="2"/>
      <scheme val="minor"/>
    </font>
    <font>
      <vertAlign val="superscript"/>
      <sz val="11"/>
      <color theme="1"/>
      <name val="Calibri"/>
      <family val="2"/>
      <scheme val="minor"/>
    </font>
    <font>
      <sz val="8"/>
      <color theme="1"/>
      <name val="Calibri"/>
      <family val="2"/>
      <scheme val="minor"/>
    </font>
    <font>
      <vertAlign val="superscript"/>
      <sz val="8"/>
      <color theme="1"/>
      <name val="Calibri"/>
      <family val="2"/>
      <scheme val="minor"/>
    </font>
    <font>
      <b/>
      <vertAlign val="superscript"/>
      <sz val="12"/>
      <color theme="0"/>
      <name val="Calibri"/>
      <family val="2"/>
      <scheme val="minor"/>
    </font>
    <font>
      <b/>
      <sz val="18"/>
      <color theme="0"/>
      <name val="Neutrif Pro"/>
      <family val="3"/>
    </font>
    <font>
      <b/>
      <sz val="24"/>
      <color rgb="FF002060"/>
      <name val="72 Black"/>
      <family val="2"/>
    </font>
    <font>
      <b/>
      <sz val="20"/>
      <color rgb="FF002060"/>
      <name val="72 Black"/>
      <family val="2"/>
    </font>
    <font>
      <b/>
      <sz val="18"/>
      <color rgb="FF002060"/>
      <name val="72 Black"/>
      <family val="2"/>
    </font>
    <font>
      <b/>
      <sz val="11"/>
      <color rgb="FF002060"/>
      <name val="72 Black"/>
      <family val="2"/>
    </font>
    <font>
      <sz val="20"/>
      <color rgb="FF002060"/>
      <name val="72 Black"/>
      <family val="2"/>
    </font>
    <font>
      <b/>
      <sz val="22"/>
      <color rgb="FF002060"/>
      <name val="72 Black"/>
      <family val="2"/>
    </font>
    <font>
      <b/>
      <sz val="26"/>
      <color rgb="FF002060"/>
      <name val="72 Black"/>
      <family val="2"/>
    </font>
    <font>
      <b/>
      <sz val="14"/>
      <color theme="4" tint="-0.499984740745262"/>
      <name val="72 Black"/>
      <family val="2"/>
    </font>
    <font>
      <b/>
      <u/>
      <sz val="14"/>
      <color rgb="FFFF0000"/>
      <name val="72 Black"/>
      <family val="2"/>
    </font>
    <font>
      <b/>
      <sz val="14"/>
      <color rgb="FFFF0000"/>
      <name val="72 Black"/>
      <family val="2"/>
    </font>
  </fonts>
  <fills count="17">
    <fill>
      <patternFill patternType="none"/>
    </fill>
    <fill>
      <patternFill patternType="gray125"/>
    </fill>
    <fill>
      <patternFill patternType="solid">
        <fgColor rgb="FFC6EFCE"/>
      </patternFill>
    </fill>
    <fill>
      <patternFill patternType="solid">
        <fgColor theme="4" tint="0.79998168889431442"/>
        <bgColor indexed="65"/>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3" tint="0.499984740745262"/>
        <bgColor indexed="64"/>
      </patternFill>
    </fill>
    <fill>
      <patternFill patternType="solid">
        <fgColor theme="1" tint="0.499984740745262"/>
        <bgColor indexed="64"/>
      </patternFill>
    </fill>
    <fill>
      <patternFill patternType="solid">
        <fgColor rgb="FF00B050"/>
        <bgColor indexed="64"/>
      </patternFill>
    </fill>
    <fill>
      <patternFill patternType="solid">
        <fgColor theme="8"/>
        <bgColor indexed="64"/>
      </patternFill>
    </fill>
    <fill>
      <patternFill patternType="solid">
        <fgColor rgb="FF0C1676"/>
        <bgColor indexed="64"/>
      </patternFill>
    </fill>
  </fills>
  <borders count="53">
    <border>
      <left/>
      <right/>
      <top/>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right/>
      <top/>
      <bottom style="medium">
        <color indexed="64"/>
      </bottom>
      <diagonal/>
    </border>
    <border>
      <left/>
      <right/>
      <top/>
      <bottom style="hair">
        <color indexed="64"/>
      </bottom>
      <diagonal/>
    </border>
    <border>
      <left/>
      <right/>
      <top style="hair">
        <color indexed="64"/>
      </top>
      <bottom style="hair">
        <color indexed="64"/>
      </bottom>
      <diagonal/>
    </border>
    <border>
      <left style="medium">
        <color theme="2"/>
      </left>
      <right/>
      <top style="medium">
        <color theme="2"/>
      </top>
      <bottom/>
      <diagonal/>
    </border>
    <border>
      <left/>
      <right/>
      <top style="medium">
        <color theme="2"/>
      </top>
      <bottom/>
      <diagonal/>
    </border>
    <border>
      <left/>
      <right style="medium">
        <color theme="2"/>
      </right>
      <top style="medium">
        <color theme="2"/>
      </top>
      <bottom/>
      <diagonal/>
    </border>
    <border>
      <left style="medium">
        <color theme="2"/>
      </left>
      <right/>
      <top/>
      <bottom/>
      <diagonal/>
    </border>
    <border>
      <left/>
      <right style="medium">
        <color theme="2"/>
      </right>
      <top/>
      <bottom/>
      <diagonal/>
    </border>
    <border>
      <left style="medium">
        <color theme="2"/>
      </left>
      <right/>
      <top/>
      <bottom style="medium">
        <color theme="2"/>
      </bottom>
      <diagonal/>
    </border>
    <border>
      <left/>
      <right/>
      <top/>
      <bottom style="medium">
        <color theme="2"/>
      </bottom>
      <diagonal/>
    </border>
    <border>
      <left/>
      <right style="medium">
        <color theme="2"/>
      </right>
      <top/>
      <bottom style="medium">
        <color theme="2"/>
      </bottom>
      <diagonal/>
    </border>
    <border>
      <left style="medium">
        <color theme="2"/>
      </left>
      <right style="medium">
        <color theme="2"/>
      </right>
      <top style="medium">
        <color theme="2"/>
      </top>
      <bottom/>
      <diagonal/>
    </border>
    <border>
      <left style="medium">
        <color theme="2"/>
      </left>
      <right style="medium">
        <color theme="2"/>
      </right>
      <top/>
      <bottom/>
      <diagonal/>
    </border>
    <border>
      <left style="medium">
        <color theme="2"/>
      </left>
      <right style="medium">
        <color theme="2"/>
      </right>
      <top/>
      <bottom style="medium">
        <color theme="2"/>
      </bottom>
      <diagonal/>
    </border>
    <border>
      <left style="medium">
        <color theme="2"/>
      </left>
      <right/>
      <top style="medium">
        <color theme="0"/>
      </top>
      <bottom/>
      <diagonal/>
    </border>
    <border>
      <left/>
      <right/>
      <top style="medium">
        <color theme="0"/>
      </top>
      <bottom/>
      <diagonal/>
    </border>
    <border>
      <left/>
      <right/>
      <top style="medium">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right/>
      <top style="medium">
        <color auto="1"/>
      </top>
      <bottom style="double">
        <color auto="1"/>
      </bottom>
      <diagonal/>
    </border>
    <border>
      <left/>
      <right/>
      <top/>
      <bottom style="medium">
        <color rgb="FF485C6D"/>
      </bottom>
      <diagonal/>
    </border>
    <border>
      <left/>
      <right/>
      <top style="thin">
        <color indexed="64"/>
      </top>
      <bottom style="medium">
        <color indexed="64"/>
      </bottom>
      <diagonal/>
    </border>
    <border>
      <left/>
      <right style="thick">
        <color theme="0"/>
      </right>
      <top/>
      <bottom/>
      <diagonal/>
    </border>
    <border>
      <left style="thick">
        <color theme="0"/>
      </left>
      <right/>
      <top/>
      <bottom/>
      <diagonal/>
    </border>
    <border>
      <left/>
      <right/>
      <top/>
      <bottom style="double">
        <color indexed="64"/>
      </bottom>
      <diagonal/>
    </border>
    <border>
      <left/>
      <right/>
      <top style="thin">
        <color indexed="64"/>
      </top>
      <bottom style="double">
        <color indexed="64"/>
      </bottom>
      <diagonal/>
    </border>
    <border>
      <left style="thin">
        <color indexed="64"/>
      </left>
      <right/>
      <top/>
      <bottom style="thin">
        <color auto="1"/>
      </bottom>
      <diagonal/>
    </border>
    <border>
      <left/>
      <right style="thin">
        <color indexed="64"/>
      </right>
      <top/>
      <bottom style="thin">
        <color auto="1"/>
      </bottom>
      <diagonal/>
    </border>
    <border>
      <left/>
      <right style="thin">
        <color indexed="64"/>
      </right>
      <top/>
      <bottom/>
      <diagonal/>
    </border>
    <border>
      <left/>
      <right/>
      <top style="double">
        <color auto="1"/>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theme="2"/>
      </left>
      <right/>
      <top/>
      <bottom/>
      <diagonal/>
    </border>
    <border>
      <left/>
      <right style="thick">
        <color theme="2"/>
      </right>
      <top/>
      <bottom/>
      <diagonal/>
    </border>
    <border>
      <left style="thick">
        <color theme="2"/>
      </left>
      <right/>
      <top/>
      <bottom style="thick">
        <color theme="2"/>
      </bottom>
      <diagonal/>
    </border>
    <border>
      <left/>
      <right/>
      <top/>
      <bottom style="thick">
        <color theme="2"/>
      </bottom>
      <diagonal/>
    </border>
    <border>
      <left/>
      <right style="thick">
        <color theme="2"/>
      </right>
      <top/>
      <bottom style="thick">
        <color theme="2"/>
      </bottom>
      <diagonal/>
    </border>
    <border>
      <left style="thick">
        <color theme="2"/>
      </left>
      <right/>
      <top style="thick">
        <color theme="2"/>
      </top>
      <bottom/>
      <diagonal/>
    </border>
    <border>
      <left/>
      <right/>
      <top style="thick">
        <color theme="2"/>
      </top>
      <bottom/>
      <diagonal/>
    </border>
    <border>
      <left/>
      <right style="thick">
        <color theme="2"/>
      </right>
      <top style="thick">
        <color theme="2"/>
      </top>
      <bottom/>
      <diagonal/>
    </border>
  </borders>
  <cellStyleXfs count="23">
    <xf numFmtId="0" fontId="0" fillId="0" borderId="0"/>
    <xf numFmtId="0" fontId="3" fillId="2" borderId="0" applyNumberFormat="0" applyBorder="0" applyAlignment="0" applyProtection="0"/>
    <xf numFmtId="0" fontId="2" fillId="3" borderId="0" applyNumberFormat="0" applyBorder="0" applyAlignment="0" applyProtection="0"/>
    <xf numFmtId="0" fontId="10" fillId="0" borderId="0" applyNumberFormat="0" applyFill="0" applyBorder="0" applyAlignment="0" applyProtection="0"/>
    <xf numFmtId="0" fontId="15"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35" fillId="0" borderId="0"/>
    <xf numFmtId="0" fontId="15" fillId="0" borderId="0"/>
    <xf numFmtId="169" fontId="15" fillId="0" borderId="0" applyFont="0" applyFill="0" applyBorder="0" applyAlignment="0" applyProtection="0"/>
    <xf numFmtId="0" fontId="2" fillId="0" borderId="0"/>
    <xf numFmtId="169" fontId="2" fillId="0" borderId="0" applyFont="0" applyFill="0" applyBorder="0" applyAlignment="0" applyProtection="0"/>
    <xf numFmtId="0" fontId="2" fillId="0" borderId="0" applyNumberFormat="0" applyFill="0" applyAlignment="0" applyProtection="0"/>
    <xf numFmtId="0" fontId="20" fillId="0" borderId="0"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5" applyNumberFormat="0" applyFill="0" applyAlignment="0" applyProtection="0"/>
    <xf numFmtId="0" fontId="20" fillId="0" borderId="2" applyNumberFormat="0" applyFill="0" applyAlignment="0" applyProtection="0"/>
    <xf numFmtId="0" fontId="20" fillId="0" borderId="32" applyNumberFormat="0" applyFill="0" applyAlignment="0" applyProtection="0"/>
    <xf numFmtId="0" fontId="22" fillId="0" borderId="0" applyNumberFormat="0" applyFill="0" applyAlignment="0" applyProtection="0"/>
    <xf numFmtId="0" fontId="2" fillId="0" borderId="0"/>
  </cellStyleXfs>
  <cellXfs count="825">
    <xf numFmtId="0" fontId="0" fillId="0" borderId="0" xfId="0"/>
    <xf numFmtId="0" fontId="6" fillId="0" borderId="0" xfId="0" applyFont="1" applyAlignment="1">
      <alignment horizontal="center"/>
    </xf>
    <xf numFmtId="0" fontId="0" fillId="0" borderId="0" xfId="0" applyAlignment="1">
      <alignment vertical="center"/>
    </xf>
    <xf numFmtId="0" fontId="9" fillId="0" borderId="0" xfId="0" applyFont="1" applyAlignment="1">
      <alignment horizontal="center"/>
    </xf>
    <xf numFmtId="0" fontId="8" fillId="0" borderId="0" xfId="0" applyFont="1"/>
    <xf numFmtId="0" fontId="0" fillId="0" borderId="0" xfId="0" applyAlignment="1">
      <alignment horizontal="right"/>
    </xf>
    <xf numFmtId="0" fontId="6" fillId="0" borderId="0" xfId="0" applyFont="1"/>
    <xf numFmtId="0" fontId="0" fillId="5" borderId="0" xfId="0" applyFill="1"/>
    <xf numFmtId="0" fontId="0" fillId="5" borderId="2" xfId="0" applyFill="1" applyBorder="1" applyAlignment="1">
      <alignment horizontal="right"/>
    </xf>
    <xf numFmtId="0" fontId="0" fillId="5" borderId="5" xfId="0" applyFill="1" applyBorder="1"/>
    <xf numFmtId="3" fontId="0" fillId="5" borderId="5" xfId="0" applyNumberFormat="1" applyFill="1" applyBorder="1"/>
    <xf numFmtId="0" fontId="8" fillId="5" borderId="5" xfId="0" applyFont="1" applyFill="1" applyBorder="1"/>
    <xf numFmtId="0" fontId="0" fillId="0" borderId="5" xfId="0" applyBorder="1"/>
    <xf numFmtId="0" fontId="0" fillId="4" borderId="5" xfId="0" applyFill="1" applyBorder="1"/>
    <xf numFmtId="0" fontId="0" fillId="4" borderId="5" xfId="0" applyFill="1" applyBorder="1" applyAlignment="1">
      <alignment horizontal="right" wrapText="1"/>
    </xf>
    <xf numFmtId="0" fontId="0" fillId="5" borderId="5" xfId="0" applyFill="1" applyBorder="1" applyAlignment="1">
      <alignment horizontal="left" vertical="center" wrapText="1"/>
    </xf>
    <xf numFmtId="0" fontId="0" fillId="5" borderId="5" xfId="0" applyFill="1" applyBorder="1" applyAlignment="1">
      <alignment wrapText="1"/>
    </xf>
    <xf numFmtId="0" fontId="0" fillId="5" borderId="5" xfId="0" applyFill="1" applyBorder="1" applyAlignment="1">
      <alignment horizontal="right"/>
    </xf>
    <xf numFmtId="9" fontId="0" fillId="5" borderId="5" xfId="0" applyNumberFormat="1" applyFill="1" applyBorder="1"/>
    <xf numFmtId="0" fontId="8" fillId="0" borderId="5" xfId="0" applyFont="1" applyBorder="1"/>
    <xf numFmtId="0" fontId="8" fillId="0" borderId="5" xfId="0" applyFont="1" applyBorder="1" applyAlignment="1">
      <alignment horizontal="center" wrapText="1"/>
    </xf>
    <xf numFmtId="0" fontId="8" fillId="0" borderId="5" xfId="0" applyFont="1" applyBorder="1" applyAlignment="1">
      <alignment horizontal="center"/>
    </xf>
    <xf numFmtId="164" fontId="12" fillId="5" borderId="5" xfId="0" applyNumberFormat="1" applyFont="1" applyFill="1" applyBorder="1" applyAlignment="1">
      <alignment horizontal="right" vertical="top"/>
    </xf>
    <xf numFmtId="164" fontId="0" fillId="5" borderId="5" xfId="0" applyNumberFormat="1" applyFill="1" applyBorder="1"/>
    <xf numFmtId="165" fontId="0" fillId="5" borderId="5" xfId="0" applyNumberFormat="1" applyFill="1" applyBorder="1"/>
    <xf numFmtId="1" fontId="0" fillId="5" borderId="5" xfId="0" applyNumberFormat="1" applyFill="1" applyBorder="1"/>
    <xf numFmtId="0" fontId="5" fillId="5" borderId="5" xfId="0" applyFont="1" applyFill="1" applyBorder="1" applyAlignment="1">
      <alignment vertical="center" wrapText="1"/>
    </xf>
    <xf numFmtId="164" fontId="5" fillId="5" borderId="5" xfId="0" applyNumberFormat="1" applyFont="1" applyFill="1" applyBorder="1" applyAlignment="1">
      <alignment horizontal="right"/>
    </xf>
    <xf numFmtId="164" fontId="5" fillId="5" borderId="5" xfId="0" applyNumberFormat="1" applyFont="1" applyFill="1" applyBorder="1"/>
    <xf numFmtId="0" fontId="0" fillId="0" borderId="0" xfId="0" applyAlignment="1">
      <alignment horizontal="center" vertical="center"/>
    </xf>
    <xf numFmtId="0" fontId="0" fillId="0" borderId="0" xfId="0" applyAlignment="1">
      <alignment vertical="center" wrapText="1"/>
    </xf>
    <xf numFmtId="3" fontId="0" fillId="5" borderId="3" xfId="0" applyNumberFormat="1" applyFill="1" applyBorder="1"/>
    <xf numFmtId="0" fontId="0" fillId="5" borderId="2" xfId="0" applyFill="1" applyBorder="1"/>
    <xf numFmtId="0" fontId="8" fillId="5" borderId="3" xfId="0" applyFont="1" applyFill="1" applyBorder="1" applyAlignment="1">
      <alignment horizontal="left" vertical="center"/>
    </xf>
    <xf numFmtId="0" fontId="0" fillId="5" borderId="3" xfId="0" applyFill="1" applyBorder="1" applyAlignment="1">
      <alignment horizontal="left" vertical="center" wrapText="1"/>
    </xf>
    <xf numFmtId="0" fontId="0" fillId="5" borderId="3" xfId="0" applyFill="1" applyBorder="1" applyAlignment="1">
      <alignment vertical="center"/>
    </xf>
    <xf numFmtId="0" fontId="0" fillId="5" borderId="0" xfId="0" applyFill="1" applyAlignment="1">
      <alignment vertical="center"/>
    </xf>
    <xf numFmtId="0" fontId="0" fillId="5" borderId="4" xfId="0" applyFill="1" applyBorder="1"/>
    <xf numFmtId="0" fontId="0" fillId="5" borderId="3" xfId="0" applyFill="1" applyBorder="1"/>
    <xf numFmtId="0" fontId="0" fillId="5" borderId="3" xfId="0" applyFill="1" applyBorder="1" applyAlignment="1">
      <alignment wrapText="1"/>
    </xf>
    <xf numFmtId="0" fontId="0" fillId="5" borderId="3" xfId="0" applyFill="1" applyBorder="1" applyAlignment="1">
      <alignment horizontal="right"/>
    </xf>
    <xf numFmtId="164" fontId="0" fillId="5" borderId="3" xfId="0" applyNumberFormat="1" applyFill="1" applyBorder="1"/>
    <xf numFmtId="9" fontId="0" fillId="5" borderId="3" xfId="0" applyNumberFormat="1" applyFill="1" applyBorder="1"/>
    <xf numFmtId="0" fontId="0" fillId="5" borderId="2" xfId="0" applyFill="1" applyBorder="1" applyAlignment="1">
      <alignment wrapText="1"/>
    </xf>
    <xf numFmtId="9" fontId="0" fillId="5" borderId="2" xfId="0" applyNumberFormat="1" applyFill="1" applyBorder="1"/>
    <xf numFmtId="0" fontId="0" fillId="4" borderId="5" xfId="0" applyFill="1" applyBorder="1" applyAlignment="1">
      <alignment wrapText="1"/>
    </xf>
    <xf numFmtId="0" fontId="0" fillId="0" borderId="8" xfId="0" applyBorder="1"/>
    <xf numFmtId="0" fontId="8" fillId="4" borderId="5" xfId="0" applyFont="1" applyFill="1" applyBorder="1" applyAlignment="1">
      <alignment wrapText="1"/>
    </xf>
    <xf numFmtId="9" fontId="0" fillId="4" borderId="5" xfId="0" applyNumberFormat="1" applyFill="1" applyBorder="1" applyAlignment="1">
      <alignment vertical="center"/>
    </xf>
    <xf numFmtId="9" fontId="0" fillId="4" borderId="5" xfId="0" applyNumberFormat="1" applyFill="1" applyBorder="1" applyAlignment="1">
      <alignment horizontal="right" vertical="center"/>
    </xf>
    <xf numFmtId="0" fontId="0" fillId="4" borderId="5" xfId="0" applyFill="1" applyBorder="1" applyAlignment="1">
      <alignment horizontal="right" vertical="center"/>
    </xf>
    <xf numFmtId="0" fontId="0" fillId="4" borderId="5" xfId="0" applyFill="1" applyBorder="1" applyAlignment="1">
      <alignment vertical="center"/>
    </xf>
    <xf numFmtId="0" fontId="0" fillId="6" borderId="5" xfId="0" applyFill="1" applyBorder="1"/>
    <xf numFmtId="164" fontId="0" fillId="6" borderId="5" xfId="0" applyNumberFormat="1" applyFill="1" applyBorder="1"/>
    <xf numFmtId="0" fontId="0" fillId="6" borderId="0" xfId="0" applyFill="1"/>
    <xf numFmtId="0" fontId="6" fillId="0" borderId="5" xfId="0" applyFont="1" applyBorder="1"/>
    <xf numFmtId="0" fontId="13" fillId="0" borderId="0" xfId="0" applyFont="1" applyAlignment="1">
      <alignment horizontal="center"/>
    </xf>
    <xf numFmtId="0" fontId="0" fillId="5" borderId="8" xfId="0" applyFill="1" applyBorder="1"/>
    <xf numFmtId="0" fontId="16" fillId="7" borderId="2" xfId="1" applyFont="1" applyFill="1" applyBorder="1" applyAlignment="1">
      <alignment horizontal="center" vertical="center"/>
    </xf>
    <xf numFmtId="0" fontId="16" fillId="7" borderId="2" xfId="1" applyFont="1" applyFill="1" applyBorder="1"/>
    <xf numFmtId="0" fontId="16" fillId="7" borderId="5" xfId="1" applyFont="1" applyFill="1" applyBorder="1"/>
    <xf numFmtId="0" fontId="17" fillId="0" borderId="0" xfId="0" applyFont="1"/>
    <xf numFmtId="0" fontId="17" fillId="7" borderId="5" xfId="1" applyFont="1" applyFill="1" applyBorder="1" applyAlignment="1">
      <alignment wrapText="1"/>
    </xf>
    <xf numFmtId="0" fontId="17" fillId="7" borderId="5" xfId="1" applyFont="1" applyFill="1" applyBorder="1"/>
    <xf numFmtId="0" fontId="19" fillId="7" borderId="5" xfId="1" applyFont="1" applyFill="1" applyBorder="1" applyAlignment="1">
      <alignment horizontal="center" vertical="center"/>
    </xf>
    <xf numFmtId="0" fontId="16" fillId="7" borderId="5" xfId="1" applyFont="1" applyFill="1" applyBorder="1" applyAlignment="1">
      <alignment horizontal="right"/>
    </xf>
    <xf numFmtId="0" fontId="17" fillId="7" borderId="5" xfId="1" applyFont="1" applyFill="1" applyBorder="1" applyAlignment="1">
      <alignment horizontal="center" vertical="center"/>
    </xf>
    <xf numFmtId="0" fontId="17" fillId="7" borderId="5" xfId="1" applyFont="1" applyFill="1" applyBorder="1" applyAlignment="1">
      <alignment horizontal="right"/>
    </xf>
    <xf numFmtId="0" fontId="16" fillId="7" borderId="5" xfId="1" applyFont="1" applyFill="1" applyBorder="1" applyAlignment="1">
      <alignment horizontal="center" vertical="center"/>
    </xf>
    <xf numFmtId="0" fontId="18" fillId="8" borderId="0" xfId="1" applyFont="1" applyFill="1" applyBorder="1" applyAlignment="1"/>
    <xf numFmtId="0" fontId="4" fillId="8" borderId="0" xfId="1" applyFont="1" applyFill="1" applyBorder="1" applyAlignment="1"/>
    <xf numFmtId="0" fontId="11" fillId="0" borderId="0" xfId="1" applyFont="1" applyFill="1" applyBorder="1" applyAlignment="1">
      <alignment vertical="center"/>
    </xf>
    <xf numFmtId="0" fontId="5" fillId="6" borderId="0" xfId="0" applyFont="1" applyFill="1"/>
    <xf numFmtId="0" fontId="5" fillId="6" borderId="0" xfId="2" applyFont="1" applyFill="1" applyBorder="1"/>
    <xf numFmtId="0" fontId="10" fillId="6" borderId="1" xfId="3" applyFill="1" applyBorder="1"/>
    <xf numFmtId="0" fontId="0" fillId="6" borderId="1" xfId="0" applyFill="1" applyBorder="1"/>
    <xf numFmtId="0" fontId="4" fillId="6" borderId="0" xfId="1" applyFont="1" applyFill="1" applyBorder="1" applyAlignment="1"/>
    <xf numFmtId="0" fontId="7" fillId="6" borderId="0" xfId="1" applyFont="1" applyFill="1" applyBorder="1" applyAlignment="1"/>
    <xf numFmtId="0" fontId="14" fillId="6" borderId="0" xfId="2" applyFont="1" applyFill="1" applyBorder="1"/>
    <xf numFmtId="0" fontId="16" fillId="8" borderId="0" xfId="1" applyFont="1" applyFill="1" applyBorder="1"/>
    <xf numFmtId="0" fontId="0" fillId="0" borderId="0" xfId="0" applyAlignment="1">
      <alignment horizontal="right" vertical="center"/>
    </xf>
    <xf numFmtId="166" fontId="0" fillId="0" borderId="0" xfId="0" applyNumberFormat="1"/>
    <xf numFmtId="0" fontId="5" fillId="0" borderId="0" xfId="0" applyFont="1"/>
    <xf numFmtId="0" fontId="0" fillId="9" borderId="0" xfId="0" applyFill="1"/>
    <xf numFmtId="0" fontId="0" fillId="9" borderId="0" xfId="0" applyFill="1" applyAlignment="1">
      <alignment horizontal="right"/>
    </xf>
    <xf numFmtId="9" fontId="0" fillId="9" borderId="0" xfId="0" applyNumberFormat="1" applyFill="1"/>
    <xf numFmtId="0" fontId="0" fillId="0" borderId="0" xfId="0" applyAlignment="1">
      <alignment horizontal="center"/>
    </xf>
    <xf numFmtId="0" fontId="14" fillId="9" borderId="3" xfId="0" applyFont="1" applyFill="1" applyBorder="1" applyAlignment="1">
      <alignment vertical="center" wrapText="1"/>
    </xf>
    <xf numFmtId="0" fontId="14" fillId="9" borderId="2" xfId="0" applyFont="1" applyFill="1" applyBorder="1" applyAlignment="1">
      <alignment vertical="center"/>
    </xf>
    <xf numFmtId="0" fontId="14" fillId="9" borderId="2" xfId="0" applyFont="1" applyFill="1" applyBorder="1" applyAlignment="1">
      <alignment vertical="center" wrapText="1"/>
    </xf>
    <xf numFmtId="0" fontId="14" fillId="9" borderId="3" xfId="0" applyFont="1" applyFill="1" applyBorder="1" applyAlignment="1">
      <alignment vertical="center"/>
    </xf>
    <xf numFmtId="0" fontId="16" fillId="8" borderId="0" xfId="1" applyFont="1" applyFill="1" applyBorder="1" applyAlignment="1">
      <alignment horizontal="right" vertical="center"/>
    </xf>
    <xf numFmtId="0" fontId="18" fillId="8" borderId="6" xfId="1" applyFont="1" applyFill="1" applyBorder="1" applyAlignment="1">
      <alignment horizontal="left" vertical="center"/>
    </xf>
    <xf numFmtId="0" fontId="18" fillId="8" borderId="6" xfId="1" applyFont="1" applyFill="1" applyBorder="1"/>
    <xf numFmtId="0" fontId="18" fillId="8" borderId="0" xfId="1" applyFont="1" applyFill="1" applyBorder="1"/>
    <xf numFmtId="0" fontId="21" fillId="8" borderId="0" xfId="1" applyFont="1" applyFill="1" applyBorder="1"/>
    <xf numFmtId="0" fontId="16" fillId="8" borderId="0" xfId="1" applyFont="1" applyFill="1" applyBorder="1" applyAlignment="1">
      <alignment horizontal="right"/>
    </xf>
    <xf numFmtId="0" fontId="8" fillId="9" borderId="0" xfId="0" applyFont="1" applyFill="1" applyAlignment="1">
      <alignment wrapText="1"/>
    </xf>
    <xf numFmtId="0" fontId="0" fillId="9" borderId="0" xfId="0" applyFill="1" applyAlignment="1">
      <alignment horizontal="right" vertical="center"/>
    </xf>
    <xf numFmtId="0" fontId="0" fillId="9" borderId="0" xfId="0" applyFill="1" applyAlignment="1">
      <alignment vertical="center"/>
    </xf>
    <xf numFmtId="9" fontId="0" fillId="9" borderId="0" xfId="0" applyNumberFormat="1" applyFill="1" applyAlignment="1">
      <alignment vertical="center"/>
    </xf>
    <xf numFmtId="9" fontId="0" fillId="9" borderId="0" xfId="0" applyNumberFormat="1" applyFill="1" applyAlignment="1">
      <alignment horizontal="right" vertical="center"/>
    </xf>
    <xf numFmtId="0" fontId="18" fillId="8" borderId="0" xfId="1" applyFont="1" applyFill="1" applyBorder="1" applyAlignment="1">
      <alignment horizontal="right"/>
    </xf>
    <xf numFmtId="0" fontId="18" fillId="0" borderId="0" xfId="1" applyFont="1" applyFill="1" applyBorder="1"/>
    <xf numFmtId="166" fontId="18" fillId="0" borderId="0" xfId="6" applyNumberFormat="1" applyFont="1" applyFill="1" applyBorder="1"/>
    <xf numFmtId="0" fontId="18" fillId="8" borderId="0" xfId="1" applyFont="1" applyFill="1" applyBorder="1" applyAlignment="1">
      <alignment horizontal="right" vertical="center"/>
    </xf>
    <xf numFmtId="0" fontId="1" fillId="0" borderId="0" xfId="0" applyFont="1"/>
    <xf numFmtId="0" fontId="1" fillId="9" borderId="0" xfId="0" applyFont="1" applyFill="1"/>
    <xf numFmtId="0" fontId="0" fillId="10" borderId="0" xfId="0" applyFill="1" applyAlignment="1">
      <alignment vertical="center"/>
    </xf>
    <xf numFmtId="0" fontId="23" fillId="0" borderId="0" xfId="0" applyFont="1" applyAlignment="1">
      <alignment vertical="center"/>
    </xf>
    <xf numFmtId="0" fontId="0" fillId="10" borderId="0" xfId="0" applyFill="1"/>
    <xf numFmtId="3" fontId="1" fillId="9" borderId="0" xfId="0" applyNumberFormat="1" applyFont="1" applyFill="1"/>
    <xf numFmtId="2" fontId="1" fillId="9" borderId="0" xfId="0" applyNumberFormat="1" applyFont="1" applyFill="1" applyAlignment="1">
      <alignment horizontal="right"/>
    </xf>
    <xf numFmtId="0" fontId="1" fillId="9" borderId="0" xfId="0" applyFont="1" applyFill="1" applyAlignment="1">
      <alignment horizontal="right"/>
    </xf>
    <xf numFmtId="0" fontId="1" fillId="9" borderId="0" xfId="0" applyFont="1" applyFill="1" applyAlignment="1">
      <alignment horizontal="left" vertical="center" wrapText="1"/>
    </xf>
    <xf numFmtId="0" fontId="1" fillId="9" borderId="0" xfId="0" applyFont="1" applyFill="1" applyAlignment="1">
      <alignment wrapText="1"/>
    </xf>
    <xf numFmtId="9" fontId="1" fillId="9" borderId="0" xfId="0" applyNumberFormat="1" applyFont="1" applyFill="1"/>
    <xf numFmtId="9" fontId="1" fillId="9" borderId="0" xfId="5" applyFont="1" applyFill="1" applyBorder="1" applyAlignment="1">
      <alignment horizontal="right"/>
    </xf>
    <xf numFmtId="9" fontId="1" fillId="9" borderId="0" xfId="5" applyFont="1" applyFill="1" applyBorder="1"/>
    <xf numFmtId="0" fontId="10" fillId="0" borderId="0" xfId="3"/>
    <xf numFmtId="0" fontId="24" fillId="0" borderId="0" xfId="0" applyFont="1" applyAlignment="1">
      <alignment vertical="top" wrapText="1"/>
    </xf>
    <xf numFmtId="9" fontId="1" fillId="9" borderId="0" xfId="0" applyNumberFormat="1" applyFont="1" applyFill="1" applyAlignment="1">
      <alignment horizontal="right"/>
    </xf>
    <xf numFmtId="0" fontId="1" fillId="9" borderId="2" xfId="0" applyFont="1" applyFill="1" applyBorder="1"/>
    <xf numFmtId="9" fontId="1" fillId="9" borderId="2" xfId="0" applyNumberFormat="1" applyFont="1" applyFill="1" applyBorder="1"/>
    <xf numFmtId="0" fontId="21" fillId="8" borderId="0" xfId="1" applyFont="1" applyFill="1" applyBorder="1" applyAlignment="1">
      <alignment vertical="center"/>
    </xf>
    <xf numFmtId="0" fontId="0" fillId="0" borderId="0" xfId="0" applyAlignment="1">
      <alignment wrapText="1"/>
    </xf>
    <xf numFmtId="164" fontId="0" fillId="0" borderId="0" xfId="5" applyNumberFormat="1" applyFont="1"/>
    <xf numFmtId="166" fontId="0" fillId="0" borderId="0" xfId="6" applyNumberFormat="1" applyFont="1"/>
    <xf numFmtId="9" fontId="0" fillId="0" borderId="0" xfId="5" applyFont="1"/>
    <xf numFmtId="0" fontId="10" fillId="0" borderId="0" xfId="3" applyFill="1"/>
    <xf numFmtId="9" fontId="0" fillId="0" borderId="0" xfId="0" applyNumberFormat="1"/>
    <xf numFmtId="0" fontId="23" fillId="0" borderId="0" xfId="0" applyFont="1"/>
    <xf numFmtId="0" fontId="27" fillId="0" borderId="0" xfId="0" applyFont="1"/>
    <xf numFmtId="3" fontId="1" fillId="9" borderId="2" xfId="0" applyNumberFormat="1" applyFont="1" applyFill="1" applyBorder="1"/>
    <xf numFmtId="3" fontId="22" fillId="9" borderId="0" xfId="0" applyNumberFormat="1" applyFont="1" applyFill="1"/>
    <xf numFmtId="9" fontId="22" fillId="9" borderId="0" xfId="0" applyNumberFormat="1" applyFont="1" applyFill="1"/>
    <xf numFmtId="0" fontId="16" fillId="11" borderId="0" xfId="0" applyFont="1" applyFill="1"/>
    <xf numFmtId="3" fontId="0" fillId="0" borderId="0" xfId="0" applyNumberFormat="1"/>
    <xf numFmtId="0" fontId="17" fillId="11" borderId="0" xfId="0" applyFont="1" applyFill="1"/>
    <xf numFmtId="0" fontId="29" fillId="0" borderId="0" xfId="0" applyFont="1" applyAlignment="1">
      <alignment horizontal="justify" vertical="center" wrapText="1"/>
    </xf>
    <xf numFmtId="0" fontId="30" fillId="0" borderId="0" xfId="0" applyFont="1" applyAlignment="1">
      <alignment vertical="top" wrapText="1"/>
    </xf>
    <xf numFmtId="3" fontId="0" fillId="9" borderId="0" xfId="0" applyNumberFormat="1" applyFill="1"/>
    <xf numFmtId="0" fontId="8" fillId="0" borderId="0" xfId="0" applyFont="1" applyAlignment="1">
      <alignment horizontal="right"/>
    </xf>
    <xf numFmtId="3" fontId="34" fillId="0" borderId="0" xfId="0" applyNumberFormat="1" applyFont="1"/>
    <xf numFmtId="169" fontId="36" fillId="0" borderId="0" xfId="0" applyNumberFormat="1" applyFont="1"/>
    <xf numFmtId="166" fontId="16" fillId="0" borderId="0" xfId="6" applyNumberFormat="1" applyFont="1" applyFill="1" applyBorder="1"/>
    <xf numFmtId="0" fontId="37" fillId="0" borderId="0" xfId="3" applyNumberFormat="1" applyFont="1"/>
    <xf numFmtId="0" fontId="18" fillId="8" borderId="0" xfId="1" applyFont="1" applyFill="1" applyBorder="1" applyAlignment="1">
      <alignment horizontal="right" vertical="top"/>
    </xf>
    <xf numFmtId="166" fontId="0" fillId="0" borderId="0" xfId="6" applyNumberFormat="1" applyFont="1" applyAlignment="1">
      <alignment horizontal="right" vertical="top"/>
    </xf>
    <xf numFmtId="0" fontId="31" fillId="0" borderId="0" xfId="0" applyFont="1" applyAlignment="1">
      <alignment horizontal="center" vertical="center"/>
    </xf>
    <xf numFmtId="0" fontId="38" fillId="0" borderId="0" xfId="0" applyFont="1"/>
    <xf numFmtId="0" fontId="39" fillId="0" borderId="0" xfId="0" applyFont="1" applyAlignment="1">
      <alignment horizontal="center" vertical="center"/>
    </xf>
    <xf numFmtId="0" fontId="39" fillId="0" borderId="0" xfId="0" applyFont="1" applyAlignment="1">
      <alignment horizontal="right" vertical="center"/>
    </xf>
    <xf numFmtId="0" fontId="38" fillId="0" borderId="0" xfId="0" applyFont="1" applyAlignment="1">
      <alignment horizontal="right" vertical="center"/>
    </xf>
    <xf numFmtId="0" fontId="40" fillId="0" borderId="0" xfId="0" applyFont="1" applyAlignment="1">
      <alignment horizontal="right" vertical="center"/>
    </xf>
    <xf numFmtId="0" fontId="41" fillId="11" borderId="2" xfId="1" applyFont="1" applyFill="1" applyBorder="1" applyAlignment="1">
      <alignment horizontal="left" vertical="center"/>
    </xf>
    <xf numFmtId="0" fontId="41" fillId="11" borderId="2" xfId="1" applyFont="1" applyFill="1" applyBorder="1" applyAlignment="1">
      <alignment horizontal="center" vertical="center" wrapText="1"/>
    </xf>
    <xf numFmtId="0" fontId="41" fillId="11" borderId="2" xfId="1" applyFont="1" applyFill="1" applyBorder="1" applyAlignment="1">
      <alignment horizontal="center" vertical="center"/>
    </xf>
    <xf numFmtId="0" fontId="41" fillId="11" borderId="2" xfId="1" applyFont="1" applyFill="1" applyBorder="1" applyAlignment="1">
      <alignment vertical="center"/>
    </xf>
    <xf numFmtId="0" fontId="41" fillId="11" borderId="2" xfId="1" applyFont="1" applyFill="1" applyBorder="1" applyAlignment="1">
      <alignment horizontal="right" vertical="center"/>
    </xf>
    <xf numFmtId="0" fontId="41" fillId="11" borderId="0" xfId="1" applyFont="1" applyFill="1" applyBorder="1" applyAlignment="1">
      <alignment horizontal="right" vertical="center"/>
    </xf>
    <xf numFmtId="0" fontId="41" fillId="11" borderId="9" xfId="1" applyFont="1" applyFill="1" applyBorder="1" applyAlignment="1">
      <alignment horizontal="right" vertical="top" wrapText="1"/>
    </xf>
    <xf numFmtId="0" fontId="41" fillId="11" borderId="9" xfId="1" applyFont="1" applyFill="1" applyBorder="1" applyAlignment="1">
      <alignment horizontal="right" vertical="center" wrapText="1"/>
    </xf>
    <xf numFmtId="0" fontId="42" fillId="9" borderId="0" xfId="0" applyFont="1" applyFill="1" applyAlignment="1">
      <alignment horizontal="left" vertical="center"/>
    </xf>
    <xf numFmtId="0" fontId="43" fillId="9" borderId="0" xfId="0" applyFont="1" applyFill="1" applyAlignment="1">
      <alignment horizontal="left" vertical="center" wrapText="1"/>
    </xf>
    <xf numFmtId="0" fontId="43" fillId="9" borderId="11" xfId="0" applyFont="1" applyFill="1" applyBorder="1" applyAlignment="1">
      <alignment vertical="center" wrapText="1"/>
    </xf>
    <xf numFmtId="3" fontId="43" fillId="9" borderId="11" xfId="0" applyNumberFormat="1" applyFont="1" applyFill="1" applyBorder="1" applyAlignment="1">
      <alignment horizontal="right" vertical="center"/>
    </xf>
    <xf numFmtId="3" fontId="47" fillId="5" borderId="11" xfId="0" applyNumberFormat="1" applyFont="1" applyFill="1" applyBorder="1" applyAlignment="1">
      <alignment horizontal="right" vertical="center"/>
    </xf>
    <xf numFmtId="3" fontId="48" fillId="9" borderId="11" xfId="0" applyNumberFormat="1" applyFont="1" applyFill="1" applyBorder="1" applyAlignment="1">
      <alignment horizontal="right" vertical="center"/>
    </xf>
    <xf numFmtId="9" fontId="48" fillId="9" borderId="10" xfId="5" applyFont="1" applyFill="1" applyBorder="1" applyAlignment="1">
      <alignment horizontal="right" vertical="center"/>
    </xf>
    <xf numFmtId="0" fontId="42" fillId="9" borderId="0" xfId="0" applyFont="1" applyFill="1" applyAlignment="1">
      <alignment horizontal="left" vertical="center" wrapText="1"/>
    </xf>
    <xf numFmtId="0" fontId="44" fillId="9" borderId="27" xfId="0" applyFont="1" applyFill="1" applyBorder="1" applyAlignment="1">
      <alignment horizontal="left" vertical="center" wrapText="1"/>
    </xf>
    <xf numFmtId="43" fontId="43" fillId="9" borderId="11" xfId="6" applyFont="1" applyFill="1" applyBorder="1" applyAlignment="1">
      <alignment horizontal="right" vertical="center"/>
    </xf>
    <xf numFmtId="43" fontId="47" fillId="5" borderId="11" xfId="0" applyNumberFormat="1" applyFont="1" applyFill="1" applyBorder="1" applyAlignment="1">
      <alignment horizontal="right" vertical="center"/>
    </xf>
    <xf numFmtId="43" fontId="48" fillId="9" borderId="11" xfId="6" applyFont="1" applyFill="1" applyBorder="1" applyAlignment="1">
      <alignment vertical="center"/>
    </xf>
    <xf numFmtId="164" fontId="48" fillId="9" borderId="10" xfId="5" applyNumberFormat="1" applyFont="1" applyFill="1" applyBorder="1" applyAlignment="1">
      <alignment horizontal="right" vertical="center"/>
    </xf>
    <xf numFmtId="9" fontId="38" fillId="0" borderId="0" xfId="0" applyNumberFormat="1" applyFont="1"/>
    <xf numFmtId="9" fontId="38" fillId="0" borderId="0" xfId="5" applyFont="1"/>
    <xf numFmtId="0" fontId="43" fillId="9" borderId="11" xfId="0" applyFont="1" applyFill="1" applyBorder="1" applyAlignment="1">
      <alignment horizontal="left" vertical="center" wrapText="1"/>
    </xf>
    <xf numFmtId="4" fontId="43" fillId="9" borderId="11" xfId="0" applyNumberFormat="1" applyFont="1" applyFill="1" applyBorder="1" applyAlignment="1">
      <alignment horizontal="right" vertical="center"/>
    </xf>
    <xf numFmtId="4" fontId="47" fillId="5" borderId="11" xfId="0" applyNumberFormat="1" applyFont="1" applyFill="1" applyBorder="1" applyAlignment="1">
      <alignment horizontal="right" vertical="center"/>
    </xf>
    <xf numFmtId="43" fontId="48" fillId="9" borderId="11" xfId="6" applyFont="1" applyFill="1" applyBorder="1" applyAlignment="1">
      <alignment horizontal="right" vertical="center"/>
    </xf>
    <xf numFmtId="0" fontId="42" fillId="9" borderId="11" xfId="0" applyFont="1" applyFill="1" applyBorder="1" applyAlignment="1">
      <alignment horizontal="left" vertical="center" wrapText="1"/>
    </xf>
    <xf numFmtId="164" fontId="43" fillId="9" borderId="11" xfId="0" applyNumberFormat="1" applyFont="1" applyFill="1" applyBorder="1" applyAlignment="1">
      <alignment horizontal="right" vertical="center"/>
    </xf>
    <xf numFmtId="164" fontId="47" fillId="5" borderId="11" xfId="0" applyNumberFormat="1" applyFont="1" applyFill="1" applyBorder="1" applyAlignment="1">
      <alignment horizontal="right" vertical="center"/>
    </xf>
    <xf numFmtId="9" fontId="48" fillId="9" borderId="11" xfId="0" applyNumberFormat="1" applyFont="1" applyFill="1" applyBorder="1" applyAlignment="1">
      <alignment horizontal="right" vertical="center"/>
    </xf>
    <xf numFmtId="0" fontId="43" fillId="9" borderId="11" xfId="0" applyFont="1" applyFill="1" applyBorder="1" applyAlignment="1">
      <alignment vertical="center"/>
    </xf>
    <xf numFmtId="9" fontId="43" fillId="9" borderId="11" xfId="0" applyNumberFormat="1" applyFont="1" applyFill="1" applyBorder="1" applyAlignment="1">
      <alignment horizontal="right" vertical="center"/>
    </xf>
    <xf numFmtId="9" fontId="47" fillId="5" borderId="11" xfId="0" applyNumberFormat="1" applyFont="1" applyFill="1" applyBorder="1" applyAlignment="1">
      <alignment horizontal="right" vertical="center"/>
    </xf>
    <xf numFmtId="0" fontId="42" fillId="9" borderId="10" xfId="0" applyFont="1" applyFill="1" applyBorder="1" applyAlignment="1">
      <alignment horizontal="left" vertical="center" wrapText="1"/>
    </xf>
    <xf numFmtId="0" fontId="43" fillId="9" borderId="10" xfId="0" applyFont="1" applyFill="1" applyBorder="1" applyAlignment="1">
      <alignment horizontal="left" vertical="center" wrapText="1"/>
    </xf>
    <xf numFmtId="0" fontId="43" fillId="9" borderId="11" xfId="0" applyFont="1" applyFill="1" applyBorder="1" applyAlignment="1">
      <alignment horizontal="right" vertical="center"/>
    </xf>
    <xf numFmtId="2" fontId="43" fillId="9" borderId="11" xfId="0" applyNumberFormat="1" applyFont="1" applyFill="1" applyBorder="1" applyAlignment="1">
      <alignment horizontal="right" vertical="center"/>
    </xf>
    <xf numFmtId="2" fontId="47" fillId="5" borderId="11" xfId="0" applyNumberFormat="1" applyFont="1" applyFill="1" applyBorder="1" applyAlignment="1">
      <alignment horizontal="right" vertical="center"/>
    </xf>
    <xf numFmtId="2" fontId="48" fillId="9" borderId="11" xfId="0" quotePrefix="1" applyNumberFormat="1" applyFont="1" applyFill="1" applyBorder="1" applyAlignment="1">
      <alignment horizontal="right" vertical="center"/>
    </xf>
    <xf numFmtId="0" fontId="49" fillId="0" borderId="0" xfId="0" applyFont="1" applyAlignment="1">
      <alignment vertical="center"/>
    </xf>
    <xf numFmtId="0" fontId="38" fillId="0" borderId="0" xfId="0" applyFont="1" applyAlignment="1">
      <alignment vertical="center"/>
    </xf>
    <xf numFmtId="0" fontId="38" fillId="9" borderId="0" xfId="0" applyFont="1" applyFill="1" applyAlignment="1">
      <alignment horizontal="right" vertical="center" wrapText="1"/>
    </xf>
    <xf numFmtId="0" fontId="40" fillId="9" borderId="0" xfId="0" applyFont="1" applyFill="1" applyAlignment="1">
      <alignment horizontal="right" vertical="center" wrapText="1"/>
    </xf>
    <xf numFmtId="9" fontId="38" fillId="0" borderId="0" xfId="5" applyFont="1" applyAlignment="1">
      <alignment horizontal="right" vertical="center"/>
    </xf>
    <xf numFmtId="0" fontId="50" fillId="0" borderId="0" xfId="10" applyFont="1"/>
    <xf numFmtId="0" fontId="51" fillId="11" borderId="2" xfId="1" applyFont="1" applyFill="1" applyBorder="1" applyAlignment="1">
      <alignment horizontal="left" vertical="center"/>
    </xf>
    <xf numFmtId="0" fontId="51" fillId="11" borderId="2" xfId="1" applyFont="1" applyFill="1" applyBorder="1" applyAlignment="1">
      <alignment horizontal="left" vertical="center" wrapText="1"/>
    </xf>
    <xf numFmtId="0" fontId="43" fillId="9" borderId="29" xfId="10" applyFont="1" applyFill="1" applyBorder="1" applyAlignment="1">
      <alignment horizontal="left" vertical="center" wrapText="1"/>
    </xf>
    <xf numFmtId="0" fontId="43" fillId="9" borderId="30" xfId="10" applyFont="1" applyFill="1" applyBorder="1" applyAlignment="1">
      <alignment horizontal="left" vertical="center"/>
    </xf>
    <xf numFmtId="9" fontId="50" fillId="0" borderId="0" xfId="10" applyNumberFormat="1" applyFont="1"/>
    <xf numFmtId="0" fontId="43" fillId="0" borderId="31" xfId="10" applyFont="1" applyBorder="1" applyAlignment="1">
      <alignment horizontal="left" vertical="center"/>
    </xf>
    <xf numFmtId="0" fontId="50" fillId="0" borderId="0" xfId="10" applyFont="1" applyAlignment="1">
      <alignment vertical="center" wrapText="1"/>
    </xf>
    <xf numFmtId="2" fontId="50" fillId="0" borderId="0" xfId="10" applyNumberFormat="1" applyFont="1"/>
    <xf numFmtId="164" fontId="50" fillId="0" borderId="0" xfId="10" applyNumberFormat="1" applyFont="1"/>
    <xf numFmtId="0" fontId="50" fillId="0" borderId="0" xfId="10" applyFont="1" applyAlignment="1">
      <alignment horizontal="left" vertical="center"/>
    </xf>
    <xf numFmtId="0" fontId="43" fillId="9" borderId="1" xfId="10" applyFont="1" applyFill="1" applyBorder="1" applyAlignment="1">
      <alignment horizontal="left" vertical="center" wrapText="1"/>
    </xf>
    <xf numFmtId="0" fontId="43" fillId="9" borderId="1" xfId="10" applyFont="1" applyFill="1" applyBorder="1" applyAlignment="1">
      <alignment vertical="center" wrapText="1"/>
    </xf>
    <xf numFmtId="4" fontId="44" fillId="0" borderId="1" xfId="10" applyNumberFormat="1" applyFont="1" applyBorder="1" applyAlignment="1">
      <alignment horizontal="right" vertical="center"/>
    </xf>
    <xf numFmtId="169" fontId="48" fillId="9" borderId="1" xfId="11" applyFont="1" applyFill="1" applyBorder="1" applyAlignment="1">
      <alignment vertical="center"/>
    </xf>
    <xf numFmtId="9" fontId="48" fillId="9" borderId="1" xfId="5" applyFont="1" applyFill="1" applyBorder="1" applyAlignment="1">
      <alignment horizontal="right" vertical="center"/>
    </xf>
    <xf numFmtId="0" fontId="43" fillId="9" borderId="27" xfId="10" applyFont="1" applyFill="1" applyBorder="1" applyAlignment="1">
      <alignment horizontal="left" vertical="center" wrapText="1"/>
    </xf>
    <xf numFmtId="3" fontId="44" fillId="0" borderId="27" xfId="10" applyNumberFormat="1" applyFont="1" applyBorder="1" applyAlignment="1">
      <alignment horizontal="right" vertical="center" wrapText="1"/>
    </xf>
    <xf numFmtId="169" fontId="48" fillId="9" borderId="27" xfId="11" applyFont="1" applyFill="1" applyBorder="1" applyAlignment="1">
      <alignment horizontal="right" vertical="center"/>
    </xf>
    <xf numFmtId="9" fontId="48" fillId="9" borderId="27" xfId="5" applyFont="1" applyFill="1" applyBorder="1" applyAlignment="1">
      <alignment horizontal="right" vertical="center"/>
    </xf>
    <xf numFmtId="0" fontId="43" fillId="9" borderId="27" xfId="10" applyFont="1" applyFill="1" applyBorder="1" applyAlignment="1">
      <alignment vertical="center" wrapText="1"/>
    </xf>
    <xf numFmtId="164" fontId="44" fillId="0" borderId="27" xfId="10" applyNumberFormat="1" applyFont="1" applyBorder="1" applyAlignment="1">
      <alignment horizontal="right" vertical="center"/>
    </xf>
    <xf numFmtId="9" fontId="48" fillId="9" borderId="27" xfId="10" applyNumberFormat="1" applyFont="1" applyFill="1" applyBorder="1" applyAlignment="1">
      <alignment horizontal="right" vertical="center"/>
    </xf>
    <xf numFmtId="0" fontId="43" fillId="9" borderId="27" xfId="10" applyFont="1" applyFill="1" applyBorder="1" applyAlignment="1">
      <alignment vertical="center"/>
    </xf>
    <xf numFmtId="9" fontId="44" fillId="0" borderId="27" xfId="10" applyNumberFormat="1" applyFont="1" applyBorder="1" applyAlignment="1">
      <alignment horizontal="right" vertical="center"/>
    </xf>
    <xf numFmtId="0" fontId="43" fillId="0" borderId="27" xfId="10" applyFont="1" applyBorder="1" applyAlignment="1">
      <alignment horizontal="left" vertical="center" wrapText="1"/>
    </xf>
    <xf numFmtId="0" fontId="43" fillId="0" borderId="27" xfId="10" applyFont="1" applyBorder="1" applyAlignment="1">
      <alignment vertical="center" wrapText="1"/>
    </xf>
    <xf numFmtId="2" fontId="44" fillId="0" borderId="27" xfId="10" applyNumberFormat="1" applyFont="1" applyBorder="1" applyAlignment="1">
      <alignment horizontal="right" vertical="center"/>
    </xf>
    <xf numFmtId="2" fontId="48" fillId="0" borderId="27" xfId="10" quotePrefix="1" applyNumberFormat="1" applyFont="1" applyBorder="1" applyAlignment="1">
      <alignment horizontal="right" vertical="center"/>
    </xf>
    <xf numFmtId="164" fontId="48" fillId="9" borderId="27" xfId="5" applyNumberFormat="1" applyFont="1" applyFill="1" applyBorder="1" applyAlignment="1">
      <alignment horizontal="right" vertical="center"/>
    </xf>
    <xf numFmtId="0" fontId="41" fillId="8" borderId="0" xfId="1" applyFont="1" applyFill="1" applyBorder="1"/>
    <xf numFmtId="0" fontId="43" fillId="9" borderId="0" xfId="0" applyFont="1" applyFill="1"/>
    <xf numFmtId="37" fontId="44" fillId="9" borderId="0" xfId="4" applyNumberFormat="1" applyFont="1" applyFill="1" applyAlignment="1">
      <alignment horizontal="right" vertical="top" indent="1"/>
    </xf>
    <xf numFmtId="0" fontId="43" fillId="0" borderId="0" xfId="0" applyFont="1"/>
    <xf numFmtId="170" fontId="44" fillId="9" borderId="0" xfId="4" applyNumberFormat="1" applyFont="1" applyFill="1" applyAlignment="1">
      <alignment horizontal="right" vertical="top" indent="1"/>
    </xf>
    <xf numFmtId="2" fontId="43" fillId="9" borderId="0" xfId="0" applyNumberFormat="1" applyFont="1" applyFill="1"/>
    <xf numFmtId="0" fontId="38" fillId="9" borderId="0" xfId="0" applyFont="1" applyFill="1"/>
    <xf numFmtId="166" fontId="38" fillId="9" borderId="0" xfId="6" applyNumberFormat="1" applyFont="1" applyFill="1" applyBorder="1"/>
    <xf numFmtId="0" fontId="57" fillId="9" borderId="0" xfId="0" applyFont="1" applyFill="1"/>
    <xf numFmtId="166" fontId="38" fillId="9" borderId="0" xfId="0" applyNumberFormat="1" applyFont="1" applyFill="1"/>
    <xf numFmtId="0" fontId="58" fillId="9" borderId="0" xfId="0" applyFont="1" applyFill="1"/>
    <xf numFmtId="0" fontId="38" fillId="0" borderId="0" xfId="0" applyFont="1" applyAlignment="1">
      <alignment horizontal="right"/>
    </xf>
    <xf numFmtId="0" fontId="38" fillId="0" borderId="0" xfId="12" applyFont="1"/>
    <xf numFmtId="0" fontId="38" fillId="0" borderId="0" xfId="12" applyFont="1" applyAlignment="1">
      <alignment horizontal="left" vertical="top" wrapText="1"/>
    </xf>
    <xf numFmtId="166" fontId="43" fillId="0" borderId="0" xfId="6" applyNumberFormat="1" applyFont="1"/>
    <xf numFmtId="0" fontId="51" fillId="8" borderId="0" xfId="1" applyFont="1" applyFill="1" applyBorder="1" applyAlignment="1">
      <alignment horizontal="center" vertical="center"/>
    </xf>
    <xf numFmtId="0" fontId="41" fillId="8" borderId="0" xfId="1" applyFont="1" applyFill="1" applyBorder="1" applyAlignment="1">
      <alignment horizontal="left" vertical="center"/>
    </xf>
    <xf numFmtId="0" fontId="59" fillId="0" borderId="0" xfId="0" applyFont="1"/>
    <xf numFmtId="0" fontId="60" fillId="0" borderId="0" xfId="14" applyFont="1"/>
    <xf numFmtId="0" fontId="2" fillId="0" borderId="0" xfId="14"/>
    <xf numFmtId="0" fontId="2" fillId="0" borderId="2" xfId="14" applyBorder="1"/>
    <xf numFmtId="0" fontId="2" fillId="0" borderId="0" xfId="14" applyFill="1" applyAlignment="1">
      <alignment vertical="center" wrapText="1"/>
    </xf>
    <xf numFmtId="0" fontId="2" fillId="0" borderId="0" xfId="14" applyAlignment="1">
      <alignment wrapText="1"/>
    </xf>
    <xf numFmtId="0" fontId="61" fillId="0" borderId="2" xfId="19" applyFont="1"/>
    <xf numFmtId="0" fontId="61" fillId="0" borderId="2" xfId="19" applyFont="1" applyFill="1"/>
    <xf numFmtId="0" fontId="61" fillId="0" borderId="2" xfId="19" applyFont="1" applyFill="1" applyAlignment="1">
      <alignment horizontal="right"/>
    </xf>
    <xf numFmtId="0" fontId="36" fillId="0" borderId="0" xfId="14" applyFont="1"/>
    <xf numFmtId="168" fontId="36" fillId="0" borderId="0" xfId="13" applyNumberFormat="1" applyFont="1"/>
    <xf numFmtId="168" fontId="36" fillId="0" borderId="0" xfId="14" applyNumberFormat="1" applyFont="1" applyFill="1"/>
    <xf numFmtId="164" fontId="36" fillId="0" borderId="0" xfId="5" applyNumberFormat="1" applyFont="1" applyFill="1"/>
    <xf numFmtId="0" fontId="36" fillId="0" borderId="0" xfId="14" applyFont="1" applyFill="1" applyAlignment="1">
      <alignment horizontal="right"/>
    </xf>
    <xf numFmtId="168" fontId="36" fillId="0" borderId="0" xfId="13" applyNumberFormat="1" applyFont="1" applyFill="1"/>
    <xf numFmtId="164" fontId="63" fillId="0" borderId="0" xfId="5" applyNumberFormat="1" applyFont="1" applyFill="1" applyBorder="1"/>
    <xf numFmtId="0" fontId="64" fillId="0" borderId="0" xfId="14" applyFont="1"/>
    <xf numFmtId="0" fontId="36" fillId="0" borderId="0" xfId="14" applyFont="1" applyAlignment="1">
      <alignment wrapText="1"/>
    </xf>
    <xf numFmtId="168" fontId="36" fillId="0" borderId="0" xfId="13" applyNumberFormat="1" applyFont="1" applyAlignment="1">
      <alignment horizontal="right"/>
    </xf>
    <xf numFmtId="0" fontId="61" fillId="0" borderId="0" xfId="19" applyFont="1" applyFill="1" applyBorder="1" applyAlignment="1">
      <alignment vertical="center" wrapText="1"/>
    </xf>
    <xf numFmtId="0" fontId="61" fillId="0" borderId="2" xfId="0" applyFont="1" applyBorder="1" applyAlignment="1">
      <alignment horizontal="right"/>
    </xf>
    <xf numFmtId="0" fontId="36" fillId="0" borderId="4" xfId="0" applyFont="1" applyBorder="1" applyAlignment="1">
      <alignment vertical="center" wrapText="1"/>
    </xf>
    <xf numFmtId="173" fontId="36" fillId="0" borderId="0" xfId="0" applyNumberFormat="1" applyFont="1" applyAlignment="1">
      <alignment vertical="center" wrapText="1"/>
    </xf>
    <xf numFmtId="164" fontId="36" fillId="0" borderId="0" xfId="5" applyNumberFormat="1" applyFont="1" applyFill="1" applyAlignment="1">
      <alignment vertical="center" wrapText="1"/>
    </xf>
    <xf numFmtId="0" fontId="36" fillId="0" borderId="0" xfId="0" applyFont="1" applyAlignment="1">
      <alignment vertical="center" wrapText="1"/>
    </xf>
    <xf numFmtId="0" fontId="61" fillId="0" borderId="2" xfId="19" applyFont="1" applyFill="1" applyAlignment="1">
      <alignment horizontal="right" vertical="center" wrapText="1"/>
    </xf>
    <xf numFmtId="168" fontId="36" fillId="0" borderId="0" xfId="13" applyNumberFormat="1" applyFont="1" applyFill="1" applyAlignment="1">
      <alignment wrapText="1"/>
    </xf>
    <xf numFmtId="0" fontId="36" fillId="0" borderId="9" xfId="0" applyFont="1" applyBorder="1" applyAlignment="1">
      <alignment vertical="center" wrapText="1"/>
    </xf>
    <xf numFmtId="169" fontId="36" fillId="0" borderId="0" xfId="13" applyFont="1" applyAlignment="1">
      <alignment wrapText="1"/>
    </xf>
    <xf numFmtId="0" fontId="61" fillId="0" borderId="32" xfId="20" applyFont="1" applyFill="1" applyAlignment="1">
      <alignment vertical="center" wrapText="1"/>
    </xf>
    <xf numFmtId="168" fontId="61" fillId="0" borderId="32" xfId="20" applyNumberFormat="1" applyFont="1" applyAlignment="1">
      <alignment wrapText="1"/>
    </xf>
    <xf numFmtId="0" fontId="65" fillId="0" borderId="33" xfId="0" applyFont="1" applyBorder="1" applyAlignment="1">
      <alignment horizontal="right" vertical="center" wrapText="1"/>
    </xf>
    <xf numFmtId="164" fontId="36" fillId="0" borderId="0" xfId="0" applyNumberFormat="1" applyFont="1"/>
    <xf numFmtId="0" fontId="66" fillId="0" borderId="33" xfId="0" applyFont="1" applyBorder="1" applyAlignment="1">
      <alignment horizontal="left" vertical="center" wrapText="1"/>
    </xf>
    <xf numFmtId="0" fontId="63" fillId="0" borderId="0" xfId="0" applyFont="1" applyAlignment="1">
      <alignment vertical="center" wrapText="1"/>
    </xf>
    <xf numFmtId="0" fontId="51" fillId="11" borderId="2" xfId="1" applyFont="1" applyFill="1" applyBorder="1" applyAlignment="1">
      <alignment horizontal="right" vertical="center" wrapText="1"/>
    </xf>
    <xf numFmtId="164" fontId="36" fillId="0" borderId="0" xfId="0" applyNumberFormat="1" applyFont="1" applyAlignment="1">
      <alignment horizontal="right"/>
    </xf>
    <xf numFmtId="168" fontId="36" fillId="0" borderId="0" xfId="13" applyNumberFormat="1" applyFont="1" applyAlignment="1">
      <alignment vertical="center"/>
    </xf>
    <xf numFmtId="168" fontId="36" fillId="0" borderId="0" xfId="13" applyNumberFormat="1" applyFont="1" applyAlignment="1">
      <alignment horizontal="right" vertical="center"/>
    </xf>
    <xf numFmtId="164" fontId="36" fillId="0" borderId="0" xfId="5" applyNumberFormat="1" applyFont="1" applyAlignment="1">
      <alignment vertical="center"/>
    </xf>
    <xf numFmtId="164" fontId="36" fillId="0" borderId="0" xfId="0" applyNumberFormat="1" applyFont="1" applyAlignment="1">
      <alignment vertical="center"/>
    </xf>
    <xf numFmtId="164" fontId="36" fillId="0" borderId="0" xfId="0" applyNumberFormat="1" applyFont="1" applyAlignment="1">
      <alignment horizontal="right" vertical="center"/>
    </xf>
    <xf numFmtId="164" fontId="36" fillId="0" borderId="0" xfId="13" applyNumberFormat="1" applyFont="1" applyAlignment="1">
      <alignment vertical="center"/>
    </xf>
    <xf numFmtId="0" fontId="61" fillId="0" borderId="2" xfId="19" applyFont="1" applyAlignment="1">
      <alignment horizontal="right"/>
    </xf>
    <xf numFmtId="0" fontId="36" fillId="0" borderId="0" xfId="0" applyFont="1"/>
    <xf numFmtId="164" fontId="36" fillId="0" borderId="0" xfId="5" applyNumberFormat="1" applyFont="1"/>
    <xf numFmtId="0" fontId="69" fillId="0" borderId="0" xfId="0" applyFont="1"/>
    <xf numFmtId="168" fontId="36" fillId="0" borderId="0" xfId="0" applyNumberFormat="1" applyFont="1"/>
    <xf numFmtId="0" fontId="36" fillId="0" borderId="0" xfId="0" applyFont="1" applyAlignment="1">
      <alignment horizontal="right"/>
    </xf>
    <xf numFmtId="169" fontId="36" fillId="0" borderId="0" xfId="13" applyFont="1"/>
    <xf numFmtId="169" fontId="36" fillId="0" borderId="0" xfId="13" applyFont="1" applyFill="1"/>
    <xf numFmtId="169" fontId="0" fillId="0" borderId="0" xfId="13" applyFont="1"/>
    <xf numFmtId="0" fontId="63" fillId="0" borderId="3" xfId="19" applyFont="1" applyFill="1" applyBorder="1" applyAlignment="1">
      <alignment vertical="center" wrapText="1"/>
    </xf>
    <xf numFmtId="0" fontId="63" fillId="0" borderId="3" xfId="19" applyFont="1" applyFill="1" applyBorder="1" applyAlignment="1">
      <alignment horizontal="right" vertical="center" wrapText="1" indent="1"/>
    </xf>
    <xf numFmtId="0" fontId="36" fillId="0" borderId="4" xfId="0" quotePrefix="1" applyFont="1" applyBorder="1" applyAlignment="1">
      <alignment vertical="center" wrapText="1"/>
    </xf>
    <xf numFmtId="168" fontId="36" fillId="0" borderId="0" xfId="13" applyNumberFormat="1" applyFont="1" applyFill="1" applyAlignment="1">
      <alignment horizontal="right" wrapText="1"/>
    </xf>
    <xf numFmtId="0" fontId="63" fillId="0" borderId="25" xfId="18" applyNumberFormat="1" applyFont="1" applyFill="1" applyAlignment="1">
      <alignment vertical="center" wrapText="1"/>
    </xf>
    <xf numFmtId="0" fontId="63" fillId="0" borderId="32" xfId="20" applyNumberFormat="1" applyFont="1" applyFill="1" applyAlignment="1">
      <alignment vertical="center" wrapText="1"/>
    </xf>
    <xf numFmtId="0" fontId="71" fillId="11" borderId="0" xfId="0" applyFont="1" applyFill="1"/>
    <xf numFmtId="0" fontId="71" fillId="11" borderId="0" xfId="0" applyFont="1" applyFill="1" applyAlignment="1">
      <alignment horizontal="right" vertical="center"/>
    </xf>
    <xf numFmtId="0" fontId="0" fillId="15" borderId="0" xfId="0" applyFill="1" applyAlignment="1">
      <alignment wrapText="1"/>
    </xf>
    <xf numFmtId="0" fontId="36" fillId="0" borderId="0" xfId="0" applyFont="1" applyAlignment="1">
      <alignment horizontal="right" vertical="center"/>
    </xf>
    <xf numFmtId="0" fontId="36" fillId="15" borderId="0" xfId="0" applyFont="1" applyFill="1"/>
    <xf numFmtId="0" fontId="63" fillId="0" borderId="0" xfId="19" applyFont="1" applyFill="1" applyBorder="1" applyAlignment="1">
      <alignment vertical="center" wrapText="1"/>
    </xf>
    <xf numFmtId="0" fontId="63" fillId="0" borderId="2" xfId="19" applyFont="1" applyFill="1" applyAlignment="1">
      <alignment horizontal="right" vertical="center" wrapText="1" indent="1"/>
    </xf>
    <xf numFmtId="168" fontId="36" fillId="0" borderId="0" xfId="13" applyNumberFormat="1" applyFont="1" applyFill="1" applyAlignment="1">
      <alignment horizontal="right" vertical="center"/>
    </xf>
    <xf numFmtId="0" fontId="71" fillId="16" borderId="0" xfId="0" applyFont="1" applyFill="1"/>
    <xf numFmtId="0" fontId="36" fillId="0" borderId="34" xfId="0" quotePrefix="1" applyFont="1" applyBorder="1" applyAlignment="1">
      <alignment vertical="center" wrapText="1"/>
    </xf>
    <xf numFmtId="0" fontId="61" fillId="0" borderId="2" xfId="19" applyFont="1" applyFill="1" applyAlignment="1">
      <alignment horizontal="right" vertical="center"/>
    </xf>
    <xf numFmtId="0" fontId="31" fillId="0" borderId="0" xfId="0" applyFont="1" applyAlignment="1">
      <alignment horizontal="right" vertical="center"/>
    </xf>
    <xf numFmtId="164" fontId="36" fillId="0" borderId="0" xfId="5" applyNumberFormat="1" applyFont="1" applyFill="1" applyAlignment="1">
      <alignment horizontal="right" wrapText="1"/>
    </xf>
    <xf numFmtId="168" fontId="36" fillId="9" borderId="0" xfId="13" applyNumberFormat="1" applyFont="1" applyFill="1" applyAlignment="1">
      <alignment horizontal="right" wrapText="1"/>
    </xf>
    <xf numFmtId="168" fontId="63" fillId="0" borderId="25" xfId="13" applyNumberFormat="1" applyFont="1" applyFill="1" applyBorder="1" applyAlignment="1">
      <alignment horizontal="right" wrapText="1"/>
    </xf>
    <xf numFmtId="164" fontId="36" fillId="0" borderId="25" xfId="5" applyNumberFormat="1" applyFont="1" applyFill="1" applyBorder="1" applyAlignment="1">
      <alignment horizontal="right" wrapText="1"/>
    </xf>
    <xf numFmtId="9" fontId="36" fillId="0" borderId="0" xfId="0" applyNumberFormat="1" applyFont="1" applyAlignment="1">
      <alignment horizontal="right"/>
    </xf>
    <xf numFmtId="164" fontId="36" fillId="0" borderId="9" xfId="5" applyNumberFormat="1" applyFont="1" applyFill="1" applyBorder="1" applyAlignment="1">
      <alignment horizontal="right" wrapText="1"/>
    </xf>
    <xf numFmtId="164" fontId="36" fillId="0" borderId="0" xfId="0" applyNumberFormat="1" applyFont="1" applyAlignment="1">
      <alignment horizontal="right" wrapText="1"/>
    </xf>
    <xf numFmtId="168" fontId="63" fillId="0" borderId="25" xfId="13" applyNumberFormat="1" applyFont="1" applyBorder="1" applyAlignment="1">
      <alignment horizontal="right"/>
    </xf>
    <xf numFmtId="168" fontId="63" fillId="0" borderId="32" xfId="13" applyNumberFormat="1" applyFont="1" applyBorder="1" applyAlignment="1">
      <alignment horizontal="right"/>
    </xf>
    <xf numFmtId="164" fontId="63" fillId="0" borderId="32" xfId="5" applyNumberFormat="1" applyFont="1" applyBorder="1" applyAlignment="1">
      <alignment horizontal="right"/>
    </xf>
    <xf numFmtId="164" fontId="36" fillId="0" borderId="32" xfId="5" applyNumberFormat="1" applyFont="1" applyFill="1" applyBorder="1" applyAlignment="1">
      <alignment horizontal="right" wrapText="1"/>
    </xf>
    <xf numFmtId="0" fontId="36" fillId="16" borderId="0" xfId="0" applyFont="1" applyFill="1" applyAlignment="1">
      <alignment horizontal="right"/>
    </xf>
    <xf numFmtId="168" fontId="36" fillId="9" borderId="34" xfId="13" applyNumberFormat="1" applyFont="1" applyFill="1" applyBorder="1" applyAlignment="1">
      <alignment horizontal="right" wrapText="1"/>
    </xf>
    <xf numFmtId="168" fontId="36" fillId="0" borderId="34" xfId="13" applyNumberFormat="1" applyFont="1" applyBorder="1" applyAlignment="1">
      <alignment horizontal="right"/>
    </xf>
    <xf numFmtId="164" fontId="36" fillId="0" borderId="34" xfId="5" applyNumberFormat="1" applyFont="1" applyFill="1" applyBorder="1" applyAlignment="1">
      <alignment horizontal="right" wrapText="1"/>
    </xf>
    <xf numFmtId="0" fontId="71" fillId="16" borderId="0" xfId="0" applyFont="1" applyFill="1" applyAlignment="1">
      <alignment horizontal="right"/>
    </xf>
    <xf numFmtId="168" fontId="63" fillId="0" borderId="0" xfId="13" applyNumberFormat="1" applyFont="1" applyFill="1" applyAlignment="1">
      <alignment horizontal="right" wrapText="1"/>
    </xf>
    <xf numFmtId="168" fontId="36" fillId="0" borderId="0" xfId="13" applyNumberFormat="1" applyFont="1" applyAlignment="1">
      <alignment wrapText="1"/>
    </xf>
    <xf numFmtId="164" fontId="61" fillId="0" borderId="32" xfId="5" applyNumberFormat="1" applyFont="1" applyBorder="1" applyAlignment="1">
      <alignment wrapText="1"/>
    </xf>
    <xf numFmtId="0" fontId="71" fillId="11" borderId="0" xfId="14" applyFont="1" applyFill="1"/>
    <xf numFmtId="0" fontId="36" fillId="0" borderId="0" xfId="14" applyFont="1" applyFill="1"/>
    <xf numFmtId="0" fontId="72" fillId="9" borderId="0" xfId="14" applyFont="1" applyFill="1"/>
    <xf numFmtId="0" fontId="61" fillId="0" borderId="0" xfId="15" applyFont="1"/>
    <xf numFmtId="0" fontId="36" fillId="0" borderId="0" xfId="14" quotePrefix="1" applyFont="1"/>
    <xf numFmtId="0" fontId="73" fillId="0" borderId="0" xfId="14" applyFont="1"/>
    <xf numFmtId="0" fontId="61" fillId="0" borderId="2" xfId="16" applyFont="1" applyFill="1" applyAlignment="1">
      <alignment horizontal="right" vertical="center" wrapText="1"/>
    </xf>
    <xf numFmtId="0" fontId="36" fillId="0" borderId="2" xfId="14" applyFont="1" applyBorder="1"/>
    <xf numFmtId="0" fontId="63" fillId="0" borderId="2" xfId="17" applyFont="1"/>
    <xf numFmtId="0" fontId="61" fillId="0" borderId="2" xfId="17" applyFont="1" applyFill="1" applyAlignment="1">
      <alignment horizontal="right" vertical="center" wrapText="1"/>
    </xf>
    <xf numFmtId="0" fontId="61" fillId="0" borderId="9" xfId="17" applyFont="1" applyFill="1" applyBorder="1" applyAlignment="1">
      <alignment horizontal="right" vertical="center" wrapText="1"/>
    </xf>
    <xf numFmtId="0" fontId="75" fillId="0" borderId="0" xfId="14" applyFont="1" applyFill="1"/>
    <xf numFmtId="0" fontId="61" fillId="0" borderId="25" xfId="18" applyFont="1" applyFill="1"/>
    <xf numFmtId="3" fontId="61" fillId="0" borderId="25" xfId="18" applyNumberFormat="1" applyFont="1" applyFill="1" applyAlignment="1">
      <alignment wrapText="1"/>
    </xf>
    <xf numFmtId="0" fontId="36" fillId="0" borderId="0" xfId="14" applyFont="1" applyFill="1" applyAlignment="1">
      <alignment vertical="center" wrapText="1"/>
    </xf>
    <xf numFmtId="3" fontId="36" fillId="0" borderId="0" xfId="14" applyNumberFormat="1" applyFont="1" applyFill="1" applyAlignment="1">
      <alignment wrapText="1"/>
    </xf>
    <xf numFmtId="164" fontId="73" fillId="0" borderId="0" xfId="5" applyNumberFormat="1" applyFont="1"/>
    <xf numFmtId="164" fontId="73" fillId="0" borderId="0" xfId="5" applyNumberFormat="1" applyFont="1" applyFill="1"/>
    <xf numFmtId="164" fontId="36" fillId="0" borderId="0" xfId="14" applyNumberFormat="1" applyFont="1" applyFill="1" applyAlignment="1">
      <alignment wrapText="1"/>
    </xf>
    <xf numFmtId="0" fontId="36" fillId="0" borderId="9" xfId="14" applyFont="1" applyFill="1" applyBorder="1" applyAlignment="1">
      <alignment vertical="center" wrapText="1"/>
    </xf>
    <xf numFmtId="9" fontId="63" fillId="0" borderId="0" xfId="14" applyNumberFormat="1" applyFont="1" applyFill="1" applyAlignment="1">
      <alignment horizontal="right" wrapText="1"/>
    </xf>
    <xf numFmtId="164" fontId="36" fillId="0" borderId="9" xfId="14" applyNumberFormat="1" applyFont="1" applyFill="1" applyBorder="1" applyAlignment="1">
      <alignment wrapText="1"/>
    </xf>
    <xf numFmtId="164" fontId="36" fillId="0" borderId="0" xfId="14" applyNumberFormat="1" applyFont="1" applyFill="1"/>
    <xf numFmtId="4" fontId="36" fillId="0" borderId="0" xfId="14" applyNumberFormat="1" applyFont="1" applyFill="1" applyAlignment="1">
      <alignment wrapText="1"/>
    </xf>
    <xf numFmtId="164" fontId="61" fillId="0" borderId="25" xfId="18" applyNumberFormat="1" applyFont="1" applyFill="1" applyAlignment="1">
      <alignment wrapText="1"/>
    </xf>
    <xf numFmtId="164" fontId="73" fillId="0" borderId="0" xfId="5" applyNumberFormat="1" applyFont="1" applyFill="1" applyBorder="1"/>
    <xf numFmtId="0" fontId="36" fillId="0" borderId="0" xfId="14" applyFont="1" applyFill="1" applyAlignment="1">
      <alignment horizontal="left" vertical="center" wrapText="1" indent="1"/>
    </xf>
    <xf numFmtId="3" fontId="63" fillId="0" borderId="0" xfId="18" applyNumberFormat="1" applyFont="1" applyFill="1" applyBorder="1" applyAlignment="1">
      <alignment wrapText="1"/>
    </xf>
    <xf numFmtId="0" fontId="63" fillId="0" borderId="0" xfId="14" applyFont="1" applyFill="1" applyAlignment="1">
      <alignment horizontal="left" vertical="center" wrapText="1" indent="2"/>
    </xf>
    <xf numFmtId="3" fontId="36" fillId="0" borderId="9" xfId="14" applyNumberFormat="1" applyFont="1" applyFill="1" applyBorder="1" applyAlignment="1">
      <alignment wrapText="1"/>
    </xf>
    <xf numFmtId="164" fontId="73" fillId="0" borderId="9" xfId="5" applyNumberFormat="1" applyFont="1" applyFill="1" applyBorder="1"/>
    <xf numFmtId="0" fontId="36" fillId="0" borderId="0" xfId="14" applyFont="1" applyFill="1" applyAlignment="1">
      <alignment vertical="center"/>
    </xf>
    <xf numFmtId="0" fontId="71" fillId="0" borderId="0" xfId="14" applyFont="1" applyFill="1"/>
    <xf numFmtId="0" fontId="76" fillId="0" borderId="0" xfId="14" applyFont="1" applyFill="1"/>
    <xf numFmtId="0" fontId="36" fillId="15" borderId="0" xfId="14" applyFont="1" applyFill="1"/>
    <xf numFmtId="0" fontId="36" fillId="0" borderId="0" xfId="14" applyFont="1" applyAlignment="1">
      <alignment horizontal="right" vertical="center" wrapText="1"/>
    </xf>
    <xf numFmtId="0" fontId="64" fillId="0" borderId="0" xfId="14" applyFont="1" applyFill="1"/>
    <xf numFmtId="166" fontId="36" fillId="0" borderId="0" xfId="14" applyNumberFormat="1" applyFont="1"/>
    <xf numFmtId="166" fontId="36" fillId="0" borderId="0" xfId="13" applyNumberFormat="1" applyFont="1"/>
    <xf numFmtId="164" fontId="36" fillId="0" borderId="0" xfId="14" applyNumberFormat="1" applyFont="1"/>
    <xf numFmtId="172" fontId="36" fillId="0" borderId="0" xfId="14" applyNumberFormat="1" applyFont="1"/>
    <xf numFmtId="0" fontId="63" fillId="15" borderId="0" xfId="14" applyFont="1" applyFill="1"/>
    <xf numFmtId="0" fontId="77" fillId="0" borderId="0" xfId="14" applyFont="1"/>
    <xf numFmtId="0" fontId="77" fillId="0" borderId="0" xfId="14" applyFont="1" applyFill="1"/>
    <xf numFmtId="0" fontId="63" fillId="0" borderId="0" xfId="14" applyFont="1"/>
    <xf numFmtId="0" fontId="64" fillId="0" borderId="0" xfId="14" applyFont="1" applyAlignment="1">
      <alignment horizontal="right"/>
    </xf>
    <xf numFmtId="0" fontId="64" fillId="0" borderId="0" xfId="14" applyFont="1" applyFill="1" applyAlignment="1">
      <alignment horizontal="right"/>
    </xf>
    <xf numFmtId="166" fontId="36" fillId="0" borderId="0" xfId="13" applyNumberFormat="1" applyFont="1" applyAlignment="1">
      <alignment horizontal="right"/>
    </xf>
    <xf numFmtId="0" fontId="78" fillId="0" borderId="0" xfId="14" applyFont="1" applyAlignment="1">
      <alignment horizontal="right"/>
    </xf>
    <xf numFmtId="164" fontId="36" fillId="0" borderId="0" xfId="5" applyNumberFormat="1" applyFont="1" applyFill="1" applyAlignment="1">
      <alignment horizontal="right"/>
    </xf>
    <xf numFmtId="0" fontId="36" fillId="0" borderId="0" xfId="14" applyFont="1" applyAlignment="1">
      <alignment horizontal="right"/>
    </xf>
    <xf numFmtId="164" fontId="64" fillId="0" borderId="0" xfId="14" applyNumberFormat="1" applyFont="1" applyFill="1"/>
    <xf numFmtId="168" fontId="36" fillId="0" borderId="0" xfId="14" applyNumberFormat="1" applyFont="1"/>
    <xf numFmtId="9" fontId="36" fillId="0" borderId="0" xfId="5" applyFont="1"/>
    <xf numFmtId="0" fontId="36" fillId="0" borderId="0" xfId="14" applyFont="1" applyFill="1" applyAlignment="1">
      <alignment horizontal="left" vertical="top" wrapText="1"/>
    </xf>
    <xf numFmtId="0" fontId="72" fillId="0" borderId="0" xfId="14" applyFont="1"/>
    <xf numFmtId="0" fontId="79" fillId="0" borderId="0" xfId="14" applyFont="1" applyAlignment="1">
      <alignment horizontal="left" vertical="center" wrapText="1" readingOrder="1"/>
    </xf>
    <xf numFmtId="0" fontId="61" fillId="0" borderId="2" xfId="19" applyFont="1" applyFill="1" applyAlignment="1">
      <alignment vertical="center" wrapText="1"/>
    </xf>
    <xf numFmtId="0" fontId="36" fillId="0" borderId="2" xfId="14" applyFont="1" applyBorder="1" applyAlignment="1">
      <alignment vertical="center"/>
    </xf>
    <xf numFmtId="0" fontId="36" fillId="0" borderId="2" xfId="14" applyFont="1" applyBorder="1" applyAlignment="1">
      <alignment horizontal="right" vertical="center" wrapText="1"/>
    </xf>
    <xf numFmtId="0" fontId="36" fillId="0" borderId="2" xfId="14" applyFont="1" applyFill="1" applyBorder="1" applyAlignment="1">
      <alignment horizontal="right" vertical="center" wrapText="1"/>
    </xf>
    <xf numFmtId="0" fontId="64" fillId="0" borderId="0" xfId="14" applyFont="1" applyAlignment="1">
      <alignment horizontal="center"/>
    </xf>
    <xf numFmtId="0" fontId="36" fillId="0" borderId="2" xfId="14" applyFont="1" applyBorder="1" applyAlignment="1">
      <alignment horizontal="right" vertical="top"/>
    </xf>
    <xf numFmtId="0" fontId="36" fillId="0" borderId="2" xfId="14" applyFont="1" applyFill="1" applyBorder="1" applyAlignment="1">
      <alignment horizontal="right" vertical="top"/>
    </xf>
    <xf numFmtId="173" fontId="61" fillId="0" borderId="32" xfId="20" applyNumberFormat="1" applyFont="1" applyFill="1" applyAlignment="1">
      <alignment horizontal="right" wrapText="1"/>
    </xf>
    <xf numFmtId="164" fontId="61" fillId="0" borderId="32" xfId="5" applyNumberFormat="1" applyFont="1" applyFill="1" applyBorder="1" applyAlignment="1">
      <alignment horizontal="right" wrapText="1"/>
    </xf>
    <xf numFmtId="168" fontId="36" fillId="0" borderId="0" xfId="13" applyNumberFormat="1" applyFont="1" applyFill="1" applyBorder="1" applyAlignment="1">
      <alignment horizontal="right" wrapText="1"/>
    </xf>
    <xf numFmtId="0" fontId="18" fillId="8" borderId="7" xfId="1" applyFont="1" applyFill="1" applyBorder="1" applyAlignment="1">
      <alignment vertical="center"/>
    </xf>
    <xf numFmtId="0" fontId="18" fillId="8" borderId="0" xfId="1" applyFont="1" applyFill="1" applyBorder="1" applyAlignment="1">
      <alignment vertical="center"/>
    </xf>
    <xf numFmtId="0" fontId="69" fillId="0" borderId="0" xfId="0" applyFont="1" applyAlignment="1">
      <alignment horizontal="justify" vertical="center" wrapText="1"/>
    </xf>
    <xf numFmtId="0" fontId="36" fillId="0" borderId="0" xfId="0" applyFont="1" applyAlignment="1">
      <alignment horizontal="right" vertical="center" wrapText="1"/>
    </xf>
    <xf numFmtId="0" fontId="36" fillId="0" borderId="0" xfId="0" applyFont="1" applyAlignment="1">
      <alignment vertical="top" wrapText="1"/>
    </xf>
    <xf numFmtId="0" fontId="83" fillId="0" borderId="0" xfId="0" applyFont="1"/>
    <xf numFmtId="0" fontId="83" fillId="0" borderId="0" xfId="0" applyFont="1" applyAlignment="1">
      <alignment horizontal="left" vertical="center"/>
    </xf>
    <xf numFmtId="0" fontId="77" fillId="12" borderId="0" xfId="0" applyFont="1" applyFill="1" applyAlignment="1">
      <alignment horizontal="right" vertical="center"/>
    </xf>
    <xf numFmtId="0" fontId="77" fillId="13" borderId="36" xfId="0" applyFont="1" applyFill="1" applyBorder="1" applyAlignment="1">
      <alignment horizontal="right" vertical="center" wrapText="1"/>
    </xf>
    <xf numFmtId="0" fontId="77" fillId="13" borderId="0" xfId="0" applyFont="1" applyFill="1" applyAlignment="1">
      <alignment horizontal="right" vertical="center" wrapText="1"/>
    </xf>
    <xf numFmtId="168" fontId="63" fillId="0" borderId="0" xfId="13" applyNumberFormat="1" applyFont="1"/>
    <xf numFmtId="2" fontId="36" fillId="0" borderId="9" xfId="0" applyNumberFormat="1" applyFont="1" applyBorder="1"/>
    <xf numFmtId="164" fontId="36" fillId="0" borderId="9" xfId="5" applyNumberFormat="1" applyFont="1" applyBorder="1"/>
    <xf numFmtId="164" fontId="36" fillId="0" borderId="9" xfId="5" applyNumberFormat="1" applyFont="1" applyFill="1" applyBorder="1"/>
    <xf numFmtId="0" fontId="77" fillId="12" borderId="0" xfId="0" applyFont="1" applyFill="1" applyAlignment="1">
      <alignment vertical="center"/>
    </xf>
    <xf numFmtId="0" fontId="77" fillId="12" borderId="0" xfId="0" applyFont="1" applyFill="1" applyAlignment="1">
      <alignment horizontal="right" vertical="center" wrapText="1"/>
    </xf>
    <xf numFmtId="0" fontId="64" fillId="0" borderId="0" xfId="0" applyFont="1"/>
    <xf numFmtId="0" fontId="36" fillId="0" borderId="0" xfId="0" applyFont="1" applyAlignment="1">
      <alignment vertical="center"/>
    </xf>
    <xf numFmtId="167" fontId="36" fillId="0" borderId="0" xfId="0" applyNumberFormat="1" applyFont="1"/>
    <xf numFmtId="0" fontId="64" fillId="0" borderId="2" xfId="9" applyFont="1" applyBorder="1"/>
    <xf numFmtId="0" fontId="36" fillId="0" borderId="0" xfId="9" applyFont="1" applyAlignment="1">
      <alignment vertical="center"/>
    </xf>
    <xf numFmtId="0" fontId="36" fillId="0" borderId="0" xfId="9" applyFont="1"/>
    <xf numFmtId="0" fontId="82" fillId="0" borderId="0" xfId="9" applyFont="1" applyAlignment="1">
      <alignment horizontal="center"/>
    </xf>
    <xf numFmtId="0" fontId="82" fillId="0" borderId="0" xfId="9" applyFont="1"/>
    <xf numFmtId="0" fontId="79" fillId="0" borderId="0" xfId="9" applyFont="1"/>
    <xf numFmtId="0" fontId="36" fillId="0" borderId="2" xfId="9" applyFont="1" applyBorder="1" applyAlignment="1">
      <alignment vertical="center"/>
    </xf>
    <xf numFmtId="0" fontId="36" fillId="0" borderId="2" xfId="9" applyFont="1" applyBorder="1"/>
    <xf numFmtId="0" fontId="82" fillId="0" borderId="2" xfId="9" applyFont="1" applyBorder="1" applyAlignment="1">
      <alignment horizontal="center"/>
    </xf>
    <xf numFmtId="0" fontId="82" fillId="0" borderId="2" xfId="9" applyFont="1" applyBorder="1"/>
    <xf numFmtId="0" fontId="79" fillId="0" borderId="2" xfId="9" applyFont="1" applyBorder="1"/>
    <xf numFmtId="0" fontId="36" fillId="0" borderId="4" xfId="9" applyFont="1" applyBorder="1" applyAlignment="1">
      <alignment vertical="center"/>
    </xf>
    <xf numFmtId="0" fontId="36" fillId="0" borderId="4" xfId="9" applyFont="1" applyBorder="1"/>
    <xf numFmtId="0" fontId="82" fillId="0" borderId="4" xfId="9" applyFont="1" applyBorder="1" applyAlignment="1">
      <alignment horizontal="center"/>
    </xf>
    <xf numFmtId="0" fontId="82" fillId="0" borderId="4" xfId="9" applyFont="1" applyBorder="1"/>
    <xf numFmtId="0" fontId="79" fillId="0" borderId="4" xfId="9" applyFont="1" applyBorder="1"/>
    <xf numFmtId="0" fontId="79" fillId="0" borderId="0" xfId="9" applyFont="1" applyAlignment="1">
      <alignment horizontal="center"/>
    </xf>
    <xf numFmtId="0" fontId="36" fillId="0" borderId="3" xfId="9" applyFont="1" applyBorder="1"/>
    <xf numFmtId="0" fontId="82" fillId="0" borderId="3" xfId="9" applyFont="1" applyBorder="1" applyAlignment="1">
      <alignment horizontal="center"/>
    </xf>
    <xf numFmtId="0" fontId="82" fillId="0" borderId="3" xfId="9" applyFont="1" applyBorder="1"/>
    <xf numFmtId="0" fontId="79" fillId="0" borderId="3" xfId="9" applyFont="1" applyBorder="1"/>
    <xf numFmtId="0" fontId="82" fillId="0" borderId="0" xfId="9" applyFont="1" applyAlignment="1">
      <alignment horizontal="left"/>
    </xf>
    <xf numFmtId="0" fontId="79" fillId="0" borderId="0" xfId="9" applyFont="1" applyAlignment="1">
      <alignment horizontal="left"/>
    </xf>
    <xf numFmtId="0" fontId="82" fillId="0" borderId="2" xfId="14" applyFont="1" applyBorder="1" applyAlignment="1">
      <alignment horizontal="center"/>
    </xf>
    <xf numFmtId="0" fontId="82" fillId="0" borderId="2" xfId="14" applyFont="1" applyBorder="1"/>
    <xf numFmtId="0" fontId="82" fillId="0" borderId="2" xfId="9" applyFont="1" applyBorder="1" applyAlignment="1">
      <alignment horizontal="left"/>
    </xf>
    <xf numFmtId="0" fontId="2" fillId="0" borderId="0" xfId="14" applyAlignment="1">
      <alignment vertical="top" wrapText="1"/>
    </xf>
    <xf numFmtId="0" fontId="2" fillId="0" borderId="0" xfId="14" applyAlignment="1">
      <alignment vertical="center" wrapText="1"/>
    </xf>
    <xf numFmtId="0" fontId="2" fillId="0" borderId="0" xfId="14" applyFill="1" applyAlignment="1">
      <alignment horizontal="left" vertical="center" wrapText="1"/>
    </xf>
    <xf numFmtId="0" fontId="20" fillId="0" borderId="0" xfId="15" applyAlignment="1">
      <alignment vertical="center"/>
    </xf>
    <xf numFmtId="0" fontId="80" fillId="0" borderId="0" xfId="0" applyFont="1" applyAlignment="1">
      <alignment horizontal="center" vertical="center"/>
    </xf>
    <xf numFmtId="0" fontId="64" fillId="0" borderId="2" xfId="0" applyFont="1" applyBorder="1"/>
    <xf numFmtId="0" fontId="36" fillId="0" borderId="0" xfId="12" applyFont="1" applyAlignment="1">
      <alignment wrapText="1"/>
    </xf>
    <xf numFmtId="164" fontId="85" fillId="9" borderId="0" xfId="0" applyNumberFormat="1" applyFont="1" applyFill="1" applyAlignment="1">
      <alignment horizontal="right"/>
    </xf>
    <xf numFmtId="3" fontId="36" fillId="0" borderId="0" xfId="0" applyNumberFormat="1" applyFont="1"/>
    <xf numFmtId="174" fontId="36" fillId="0" borderId="0" xfId="0" applyNumberFormat="1" applyFont="1"/>
    <xf numFmtId="164" fontId="2" fillId="0" borderId="0" xfId="5" applyNumberFormat="1"/>
    <xf numFmtId="0" fontId="16" fillId="11" borderId="0" xfId="12" applyFont="1" applyFill="1"/>
    <xf numFmtId="0" fontId="2" fillId="14" borderId="0" xfId="12" applyFill="1"/>
    <xf numFmtId="0" fontId="2" fillId="0" borderId="0" xfId="12"/>
    <xf numFmtId="0" fontId="8" fillId="0" borderId="0" xfId="12" applyFont="1"/>
    <xf numFmtId="0" fontId="61" fillId="0" borderId="2" xfId="0" applyFont="1" applyBorder="1" applyAlignment="1">
      <alignment horizontal="left"/>
    </xf>
    <xf numFmtId="0" fontId="64" fillId="0" borderId="2" xfId="12" applyFont="1" applyBorder="1"/>
    <xf numFmtId="0" fontId="36" fillId="0" borderId="0" xfId="12" applyFont="1"/>
    <xf numFmtId="165" fontId="36" fillId="0" borderId="0" xfId="12" applyNumberFormat="1" applyFont="1"/>
    <xf numFmtId="171" fontId="36" fillId="0" borderId="0" xfId="12" applyNumberFormat="1" applyFont="1"/>
    <xf numFmtId="164" fontId="36" fillId="0" borderId="0" xfId="12" applyNumberFormat="1" applyFont="1"/>
    <xf numFmtId="0" fontId="23" fillId="0" borderId="0" xfId="14" applyFont="1" applyFill="1"/>
    <xf numFmtId="0" fontId="61" fillId="0" borderId="2" xfId="14" applyFont="1" applyFill="1" applyBorder="1" applyAlignment="1">
      <alignment horizontal="right"/>
    </xf>
    <xf numFmtId="169" fontId="36" fillId="0" borderId="0" xfId="13" applyFont="1" applyAlignment="1">
      <alignment horizontal="right"/>
    </xf>
    <xf numFmtId="168" fontId="36" fillId="0" borderId="0" xfId="14" applyNumberFormat="1" applyFont="1" applyAlignment="1">
      <alignment horizontal="right"/>
    </xf>
    <xf numFmtId="0" fontId="61" fillId="0" borderId="32" xfId="20" applyFont="1"/>
    <xf numFmtId="175" fontId="61" fillId="0" borderId="32" xfId="20" applyNumberFormat="1" applyFont="1" applyFill="1"/>
    <xf numFmtId="164" fontId="61" fillId="0" borderId="32" xfId="5" applyNumberFormat="1" applyFont="1" applyBorder="1"/>
    <xf numFmtId="168" fontId="61" fillId="0" borderId="32" xfId="20" applyNumberFormat="1" applyFont="1" applyAlignment="1">
      <alignment horizontal="right"/>
    </xf>
    <xf numFmtId="0" fontId="61" fillId="0" borderId="0" xfId="14" applyFont="1"/>
    <xf numFmtId="168" fontId="0" fillId="0" borderId="0" xfId="13" applyNumberFormat="1" applyFont="1" applyAlignment="1">
      <alignment horizontal="right"/>
    </xf>
    <xf numFmtId="166" fontId="36" fillId="0" borderId="0" xfId="13" applyNumberFormat="1" applyFont="1" applyFill="1" applyBorder="1"/>
    <xf numFmtId="1" fontId="61" fillId="0" borderId="32" xfId="20" applyNumberFormat="1" applyFont="1" applyFill="1"/>
    <xf numFmtId="168" fontId="0" fillId="0" borderId="0" xfId="13" applyNumberFormat="1" applyFont="1" applyFill="1" applyBorder="1"/>
    <xf numFmtId="169" fontId="0" fillId="0" borderId="0" xfId="13" applyFont="1" applyFill="1" applyBorder="1"/>
    <xf numFmtId="3" fontId="28" fillId="9" borderId="0" xfId="0" applyNumberFormat="1" applyFont="1" applyFill="1"/>
    <xf numFmtId="0" fontId="2" fillId="0" borderId="0" xfId="14" applyAlignment="1">
      <alignment horizontal="left" vertical="top"/>
    </xf>
    <xf numFmtId="0" fontId="61" fillId="0" borderId="2" xfId="19" applyFont="1" applyFill="1" applyAlignment="1">
      <alignment horizontal="right" wrapText="1"/>
    </xf>
    <xf numFmtId="0" fontId="61" fillId="0" borderId="2" xfId="19" applyFont="1" applyFill="1" applyAlignment="1">
      <alignment wrapText="1"/>
    </xf>
    <xf numFmtId="0" fontId="36" fillId="0" borderId="4" xfId="0" applyFont="1" applyBorder="1" applyAlignment="1">
      <alignment wrapText="1"/>
    </xf>
    <xf numFmtId="0" fontId="36" fillId="0" borderId="0" xfId="0" applyFont="1" applyAlignment="1">
      <alignment wrapText="1"/>
    </xf>
    <xf numFmtId="0" fontId="61" fillId="0" borderId="32" xfId="20" applyFont="1" applyFill="1" applyAlignment="1">
      <alignment wrapText="1"/>
    </xf>
    <xf numFmtId="168" fontId="61" fillId="0" borderId="32" xfId="13" applyNumberFormat="1" applyFont="1" applyBorder="1" applyAlignment="1">
      <alignment wrapText="1"/>
    </xf>
    <xf numFmtId="0" fontId="36" fillId="9" borderId="0" xfId="0" applyFont="1" applyFill="1"/>
    <xf numFmtId="3" fontId="36" fillId="9" borderId="0" xfId="0" applyNumberFormat="1" applyFont="1" applyFill="1"/>
    <xf numFmtId="0" fontId="85" fillId="9" borderId="0" xfId="0" applyFont="1" applyFill="1"/>
    <xf numFmtId="3" fontId="85" fillId="9" borderId="0" xfId="0" applyNumberFormat="1" applyFont="1" applyFill="1"/>
    <xf numFmtId="0" fontId="36" fillId="0" borderId="0" xfId="0" applyFont="1" applyAlignment="1">
      <alignment horizontal="center" vertical="center" wrapText="1"/>
    </xf>
    <xf numFmtId="3" fontId="36" fillId="9" borderId="15" xfId="0" applyNumberFormat="1" applyFont="1" applyFill="1" applyBorder="1" applyAlignment="1">
      <alignment horizontal="right"/>
    </xf>
    <xf numFmtId="3" fontId="36" fillId="9" borderId="0" xfId="0" applyNumberFormat="1" applyFont="1" applyFill="1" applyAlignment="1">
      <alignment horizontal="right"/>
    </xf>
    <xf numFmtId="0" fontId="36" fillId="0" borderId="21" xfId="0" applyFont="1" applyBorder="1"/>
    <xf numFmtId="3" fontId="36" fillId="9" borderId="17" xfId="0" applyNumberFormat="1" applyFont="1" applyFill="1" applyBorder="1" applyAlignment="1">
      <alignment horizontal="right"/>
    </xf>
    <xf numFmtId="3" fontId="36" fillId="9" borderId="18" xfId="0" applyNumberFormat="1" applyFont="1" applyFill="1" applyBorder="1" applyAlignment="1">
      <alignment horizontal="right"/>
    </xf>
    <xf numFmtId="3" fontId="36" fillId="9" borderId="19" xfId="0" applyNumberFormat="1" applyFont="1" applyFill="1" applyBorder="1" applyAlignment="1">
      <alignment horizontal="right"/>
    </xf>
    <xf numFmtId="0" fontId="63" fillId="0" borderId="0" xfId="0" applyFont="1"/>
    <xf numFmtId="0" fontId="89" fillId="8" borderId="0" xfId="1" applyFont="1" applyFill="1" applyBorder="1" applyAlignment="1">
      <alignment horizontal="right" vertical="center"/>
    </xf>
    <xf numFmtId="0" fontId="88" fillId="0" borderId="0" xfId="21" applyFont="1" applyFill="1"/>
    <xf numFmtId="3" fontId="36" fillId="0" borderId="0" xfId="0" applyNumberFormat="1" applyFont="1" applyAlignment="1">
      <alignment horizontal="right"/>
    </xf>
    <xf numFmtId="3" fontId="36" fillId="0" borderId="0" xfId="0" applyNumberFormat="1" applyFont="1" applyAlignment="1">
      <alignment horizontal="right" wrapText="1"/>
    </xf>
    <xf numFmtId="0" fontId="64" fillId="0" borderId="2" xfId="0" applyFont="1" applyBorder="1" applyAlignment="1">
      <alignment horizontal="right" vertical="center"/>
    </xf>
    <xf numFmtId="0" fontId="80" fillId="0" borderId="0" xfId="0" applyFont="1" applyAlignment="1">
      <alignment vertical="center"/>
    </xf>
    <xf numFmtId="0" fontId="64" fillId="0" borderId="2" xfId="14" applyFont="1" applyBorder="1"/>
    <xf numFmtId="0" fontId="36" fillId="0" borderId="4" xfId="14" applyFont="1" applyFill="1" applyBorder="1" applyAlignment="1">
      <alignment vertical="center" wrapText="1"/>
    </xf>
    <xf numFmtId="9" fontId="36" fillId="0" borderId="0" xfId="14" applyNumberFormat="1" applyFont="1" applyFill="1" applyAlignment="1">
      <alignment horizontal="right" vertical="center"/>
    </xf>
    <xf numFmtId="9" fontId="36" fillId="9" borderId="0" xfId="14" applyNumberFormat="1" applyFont="1" applyFill="1" applyAlignment="1">
      <alignment horizontal="right" vertical="center"/>
    </xf>
    <xf numFmtId="164" fontId="36" fillId="9" borderId="0" xfId="5" applyNumberFormat="1" applyFont="1" applyFill="1" applyAlignment="1">
      <alignment horizontal="right" vertical="center"/>
    </xf>
    <xf numFmtId="0" fontId="36" fillId="0" borderId="0" xfId="5" applyNumberFormat="1" applyFont="1" applyFill="1" applyAlignment="1">
      <alignment horizontal="right" vertical="center"/>
    </xf>
    <xf numFmtId="0" fontId="36" fillId="9" borderId="0" xfId="5" applyNumberFormat="1" applyFont="1" applyFill="1" applyAlignment="1">
      <alignment horizontal="right" vertical="center"/>
    </xf>
    <xf numFmtId="169" fontId="36" fillId="0" borderId="0" xfId="5" applyNumberFormat="1" applyFont="1" applyFill="1" applyAlignment="1">
      <alignment horizontal="right" vertical="center"/>
    </xf>
    <xf numFmtId="169" fontId="36" fillId="9" borderId="0" xfId="5" applyNumberFormat="1" applyFont="1" applyFill="1" applyAlignment="1">
      <alignment horizontal="right" vertical="center"/>
    </xf>
    <xf numFmtId="0" fontId="36" fillId="9" borderId="0" xfId="14" applyFont="1" applyFill="1" applyAlignment="1">
      <alignment vertical="center" wrapText="1"/>
    </xf>
    <xf numFmtId="169" fontId="36" fillId="0" borderId="0" xfId="13" applyFont="1" applyFill="1" applyAlignment="1">
      <alignment horizontal="right" vertical="center"/>
    </xf>
    <xf numFmtId="169" fontId="36" fillId="9" borderId="0" xfId="13" applyFont="1" applyFill="1" applyAlignment="1">
      <alignment horizontal="right" vertical="center"/>
    </xf>
    <xf numFmtId="2" fontId="36" fillId="9" borderId="0" xfId="14" applyNumberFormat="1" applyFont="1" applyFill="1" applyAlignment="1">
      <alignment horizontal="right" vertical="center"/>
    </xf>
    <xf numFmtId="0" fontId="36" fillId="9" borderId="0" xfId="14" applyFont="1" applyFill="1" applyAlignment="1">
      <alignment horizontal="right" vertical="center"/>
    </xf>
    <xf numFmtId="164" fontId="36" fillId="0" borderId="0" xfId="5" applyNumberFormat="1" applyFont="1" applyFill="1" applyAlignment="1">
      <alignment horizontal="right" vertical="center"/>
    </xf>
    <xf numFmtId="0" fontId="61" fillId="0" borderId="0" xfId="19" applyFont="1" applyBorder="1" applyAlignment="1">
      <alignment vertical="center"/>
    </xf>
    <xf numFmtId="0" fontId="61" fillId="0" borderId="2" xfId="19" applyFont="1" applyAlignment="1">
      <alignment vertical="center"/>
    </xf>
    <xf numFmtId="0" fontId="61" fillId="0" borderId="2" xfId="19" applyFont="1" applyAlignment="1">
      <alignment horizontal="center" vertical="center"/>
    </xf>
    <xf numFmtId="0" fontId="61" fillId="0" borderId="0" xfId="19" applyFont="1" applyBorder="1"/>
    <xf numFmtId="164" fontId="36" fillId="0" borderId="0" xfId="5" applyNumberFormat="1" applyFont="1" applyFill="1" applyAlignment="1">
      <alignment horizontal="center" vertical="center"/>
    </xf>
    <xf numFmtId="3" fontId="36" fillId="0" borderId="0" xfId="13" applyNumberFormat="1" applyFont="1" applyFill="1" applyAlignment="1">
      <alignment horizontal="center" vertical="center"/>
    </xf>
    <xf numFmtId="4" fontId="36" fillId="0" borderId="0" xfId="13" applyNumberFormat="1" applyFont="1" applyFill="1" applyAlignment="1">
      <alignment horizontal="center" vertical="center"/>
    </xf>
    <xf numFmtId="0" fontId="36" fillId="9" borderId="37" xfId="14" applyFont="1" applyFill="1" applyBorder="1" applyAlignment="1">
      <alignment vertical="center" wrapText="1"/>
    </xf>
    <xf numFmtId="169" fontId="36" fillId="0" borderId="37" xfId="13" applyFont="1" applyFill="1" applyBorder="1" applyAlignment="1">
      <alignment horizontal="right" vertical="center"/>
    </xf>
    <xf numFmtId="169" fontId="36" fillId="9" borderId="37" xfId="13" applyFont="1" applyFill="1" applyBorder="1" applyAlignment="1">
      <alignment horizontal="right" vertical="center"/>
    </xf>
    <xf numFmtId="164" fontId="36" fillId="9" borderId="37" xfId="5" applyNumberFormat="1" applyFont="1" applyFill="1" applyBorder="1" applyAlignment="1">
      <alignment horizontal="right" vertical="center"/>
    </xf>
    <xf numFmtId="2" fontId="36" fillId="9" borderId="37" xfId="14" applyNumberFormat="1" applyFont="1" applyFill="1" applyBorder="1" applyAlignment="1">
      <alignment horizontal="right" vertical="center"/>
    </xf>
    <xf numFmtId="0" fontId="36" fillId="9" borderId="37" xfId="14" applyFont="1" applyFill="1" applyBorder="1" applyAlignment="1">
      <alignment horizontal="right" vertical="center"/>
    </xf>
    <xf numFmtId="0" fontId="36" fillId="0" borderId="37" xfId="14" applyFont="1" applyFill="1" applyBorder="1" applyAlignment="1">
      <alignment vertical="center" wrapText="1"/>
    </xf>
    <xf numFmtId="168" fontId="36" fillId="0" borderId="37" xfId="5" applyNumberFormat="1" applyFont="1" applyFill="1" applyBorder="1" applyAlignment="1">
      <alignment horizontal="right" vertical="center"/>
    </xf>
    <xf numFmtId="168" fontId="36" fillId="9" borderId="37" xfId="5" applyNumberFormat="1" applyFont="1" applyFill="1" applyBorder="1" applyAlignment="1">
      <alignment horizontal="right" vertical="center"/>
    </xf>
    <xf numFmtId="0" fontId="64" fillId="0" borderId="2" xfId="14" applyFont="1" applyBorder="1" applyAlignment="1">
      <alignment horizontal="right"/>
    </xf>
    <xf numFmtId="0" fontId="72" fillId="0" borderId="0" xfId="14" applyFont="1" applyFill="1"/>
    <xf numFmtId="3" fontId="36" fillId="0" borderId="0" xfId="14" applyNumberFormat="1" applyFont="1"/>
    <xf numFmtId="0" fontId="76" fillId="0" borderId="0" xfId="22" applyFont="1" applyAlignment="1">
      <alignment vertical="center"/>
    </xf>
    <xf numFmtId="0" fontId="63" fillId="9" borderId="0" xfId="14" applyFont="1" applyFill="1" applyAlignment="1">
      <alignment horizontal="right" vertical="center"/>
    </xf>
    <xf numFmtId="0" fontId="72" fillId="9" borderId="0" xfId="14" applyFont="1" applyFill="1" applyAlignment="1">
      <alignment horizontal="right" vertical="center"/>
    </xf>
    <xf numFmtId="9" fontId="36" fillId="0" borderId="0" xfId="5" applyFont="1" applyAlignment="1">
      <alignment vertical="center"/>
    </xf>
    <xf numFmtId="9" fontId="36" fillId="0" borderId="37" xfId="5" applyFont="1" applyBorder="1" applyAlignment="1">
      <alignment vertical="center"/>
    </xf>
    <xf numFmtId="0" fontId="36" fillId="0" borderId="0" xfId="14" applyFont="1" applyAlignment="1"/>
    <xf numFmtId="0" fontId="90" fillId="0" borderId="0" xfId="22" applyFont="1"/>
    <xf numFmtId="0" fontId="2" fillId="0" borderId="0" xfId="14" applyAlignment="1">
      <alignment vertical="center"/>
    </xf>
    <xf numFmtId="0" fontId="64" fillId="0" borderId="2" xfId="14" applyFont="1" applyBorder="1" applyAlignment="1">
      <alignment vertical="center"/>
    </xf>
    <xf numFmtId="0" fontId="36" fillId="0" borderId="4" xfId="14" applyFont="1" applyFill="1" applyBorder="1" applyAlignment="1">
      <alignment vertical="top"/>
    </xf>
    <xf numFmtId="3" fontId="36" fillId="0" borderId="0" xfId="14" applyNumberFormat="1" applyFont="1" applyAlignment="1">
      <alignment horizontal="right" vertical="center"/>
    </xf>
    <xf numFmtId="164" fontId="36" fillId="0" borderId="0" xfId="5" applyNumberFormat="1" applyFont="1" applyAlignment="1">
      <alignment horizontal="right" vertical="center"/>
    </xf>
    <xf numFmtId="0" fontId="36" fillId="0" borderId="0" xfId="14" applyFont="1" applyFill="1" applyAlignment="1">
      <alignment vertical="top"/>
    </xf>
    <xf numFmtId="0" fontId="36" fillId="0" borderId="37" xfId="14" applyFont="1" applyFill="1" applyBorder="1" applyAlignment="1">
      <alignment vertical="top" wrapText="1"/>
    </xf>
    <xf numFmtId="3" fontId="36" fillId="0" borderId="37" xfId="14" applyNumberFormat="1" applyFont="1" applyBorder="1" applyAlignment="1">
      <alignment horizontal="right" vertical="center"/>
    </xf>
    <xf numFmtId="164" fontId="36" fillId="0" borderId="37" xfId="5" applyNumberFormat="1" applyFont="1" applyBorder="1" applyAlignment="1">
      <alignment horizontal="right" vertical="center"/>
    </xf>
    <xf numFmtId="3" fontId="22" fillId="0" borderId="0" xfId="0" applyNumberFormat="1" applyFont="1"/>
    <xf numFmtId="3" fontId="22" fillId="9" borderId="2" xfId="0" applyNumberFormat="1" applyFont="1" applyFill="1" applyBorder="1"/>
    <xf numFmtId="3" fontId="22" fillId="0" borderId="2" xfId="0" applyNumberFormat="1" applyFont="1" applyBorder="1"/>
    <xf numFmtId="0" fontId="6" fillId="9" borderId="38" xfId="0" applyFont="1" applyFill="1" applyBorder="1"/>
    <xf numFmtId="3" fontId="1" fillId="9" borderId="38" xfId="0" applyNumberFormat="1" applyFont="1" applyFill="1" applyBorder="1"/>
    <xf numFmtId="3" fontId="22" fillId="9" borderId="38" xfId="0" applyNumberFormat="1" applyFont="1" applyFill="1" applyBorder="1"/>
    <xf numFmtId="3" fontId="22" fillId="0" borderId="38" xfId="0" applyNumberFormat="1" applyFont="1" applyBorder="1"/>
    <xf numFmtId="0" fontId="0" fillId="9" borderId="2" xfId="0" applyFill="1" applyBorder="1"/>
    <xf numFmtId="0" fontId="91" fillId="0" borderId="0" xfId="14" applyFont="1"/>
    <xf numFmtId="0" fontId="92" fillId="0" borderId="0" xfId="14" applyFont="1"/>
    <xf numFmtId="0" fontId="91" fillId="0" borderId="0" xfId="14" applyFont="1" applyAlignment="1">
      <alignment vertical="center"/>
    </xf>
    <xf numFmtId="0" fontId="92" fillId="0" borderId="39" xfId="16" applyFont="1" applyBorder="1" applyAlignment="1">
      <alignment vertical="center"/>
    </xf>
    <xf numFmtId="0" fontId="92" fillId="0" borderId="2" xfId="16" applyFont="1" applyAlignment="1">
      <alignment vertical="center"/>
    </xf>
    <xf numFmtId="0" fontId="92" fillId="0" borderId="2" xfId="16" applyFont="1" applyAlignment="1">
      <alignment vertical="center" wrapText="1"/>
    </xf>
    <xf numFmtId="0" fontId="92" fillId="0" borderId="2" xfId="16" applyFont="1" applyAlignment="1">
      <alignment horizontal="center" vertical="center" wrapText="1"/>
    </xf>
    <xf numFmtId="0" fontId="92" fillId="0" borderId="2" xfId="16" applyFont="1" applyAlignment="1">
      <alignment horizontal="center" vertical="center"/>
    </xf>
    <xf numFmtId="0" fontId="92" fillId="0" borderId="40" xfId="16" applyFont="1" applyBorder="1" applyAlignment="1">
      <alignment vertical="center"/>
    </xf>
    <xf numFmtId="49" fontId="92" fillId="0" borderId="39" xfId="16" applyNumberFormat="1" applyFont="1" applyBorder="1" applyAlignment="1">
      <alignment horizontal="center" vertical="center"/>
    </xf>
    <xf numFmtId="49" fontId="92" fillId="0" borderId="2" xfId="16" applyNumberFormat="1" applyFont="1" applyAlignment="1">
      <alignment horizontal="center" vertical="center"/>
    </xf>
    <xf numFmtId="49" fontId="92" fillId="0" borderId="2" xfId="16" applyNumberFormat="1" applyFont="1" applyAlignment="1">
      <alignment horizontal="center" vertical="center" wrapText="1"/>
    </xf>
    <xf numFmtId="49" fontId="92" fillId="0" borderId="40" xfId="16" applyNumberFormat="1" applyFont="1" applyBorder="1" applyAlignment="1">
      <alignment horizontal="center" vertical="center"/>
    </xf>
    <xf numFmtId="0" fontId="92" fillId="0" borderId="39" xfId="17" applyFont="1" applyBorder="1" applyAlignment="1">
      <alignment horizontal="center" vertical="center"/>
    </xf>
    <xf numFmtId="0" fontId="92" fillId="0" borderId="2" xfId="17" applyFont="1" applyAlignment="1">
      <alignment horizontal="center" vertical="center"/>
    </xf>
    <xf numFmtId="0" fontId="92" fillId="0" borderId="40" xfId="17" applyFont="1" applyBorder="1" applyAlignment="1">
      <alignment horizontal="center" vertical="center"/>
    </xf>
    <xf numFmtId="0" fontId="91" fillId="0" borderId="7" xfId="14" applyFont="1" applyBorder="1"/>
    <xf numFmtId="166" fontId="91" fillId="0" borderId="7" xfId="6" applyNumberFormat="1" applyFont="1" applyFill="1" applyBorder="1"/>
    <xf numFmtId="164" fontId="91" fillId="0" borderId="0" xfId="14" applyNumberFormat="1" applyFont="1" applyFill="1" applyAlignment="1">
      <alignment horizontal="right" vertical="center"/>
    </xf>
    <xf numFmtId="3" fontId="91" fillId="0" borderId="0" xfId="14" applyNumberFormat="1" applyFont="1" applyFill="1" applyAlignment="1">
      <alignment horizontal="right"/>
    </xf>
    <xf numFmtId="0" fontId="91" fillId="0" borderId="0" xfId="14" applyFont="1" applyFill="1"/>
    <xf numFmtId="164" fontId="91" fillId="0" borderId="41" xfId="14" applyNumberFormat="1" applyFont="1" applyFill="1" applyBorder="1" applyAlignment="1">
      <alignment horizontal="right" vertical="center"/>
    </xf>
    <xf numFmtId="0" fontId="91" fillId="0" borderId="39" xfId="14" applyFont="1" applyBorder="1"/>
    <xf numFmtId="166" fontId="91" fillId="0" borderId="39" xfId="6" applyNumberFormat="1" applyFont="1" applyFill="1" applyBorder="1"/>
    <xf numFmtId="164" fontId="91" fillId="0" borderId="2" xfId="14" applyNumberFormat="1" applyFont="1" applyFill="1" applyBorder="1" applyAlignment="1">
      <alignment horizontal="right" vertical="center"/>
    </xf>
    <xf numFmtId="3" fontId="91" fillId="0" borderId="2" xfId="14" applyNumberFormat="1" applyFont="1" applyFill="1" applyBorder="1" applyAlignment="1">
      <alignment horizontal="right"/>
    </xf>
    <xf numFmtId="0" fontId="91" fillId="0" borderId="2" xfId="14" applyFont="1" applyFill="1" applyBorder="1"/>
    <xf numFmtId="164" fontId="91" fillId="0" borderId="40" xfId="14" applyNumberFormat="1" applyFont="1" applyFill="1" applyBorder="1" applyAlignment="1">
      <alignment horizontal="right" vertical="center"/>
    </xf>
    <xf numFmtId="0" fontId="92" fillId="0" borderId="0" xfId="15" applyFont="1" applyAlignment="1">
      <alignment vertical="center"/>
    </xf>
    <xf numFmtId="0" fontId="92" fillId="0" borderId="0" xfId="15" applyFont="1"/>
    <xf numFmtId="0" fontId="92" fillId="0" borderId="2" xfId="16" applyFont="1" applyAlignment="1"/>
    <xf numFmtId="0" fontId="92" fillId="0" borderId="2" xfId="16" applyFont="1"/>
    <xf numFmtId="0" fontId="92" fillId="0" borderId="2" xfId="16" applyFont="1" applyAlignment="1">
      <alignment wrapText="1"/>
    </xf>
    <xf numFmtId="0" fontId="92" fillId="0" borderId="2" xfId="17" applyFont="1" applyAlignment="1">
      <alignment horizontal="center" vertical="center" wrapText="1"/>
    </xf>
    <xf numFmtId="0" fontId="91" fillId="0" borderId="0" xfId="14" applyFont="1" applyAlignment="1">
      <alignment wrapText="1"/>
    </xf>
    <xf numFmtId="49" fontId="91" fillId="0" borderId="0" xfId="14" applyNumberFormat="1" applyFont="1" applyAlignment="1">
      <alignment horizontal="right"/>
    </xf>
    <xf numFmtId="164" fontId="91" fillId="0" borderId="0" xfId="14" applyNumberFormat="1" applyFont="1" applyAlignment="1">
      <alignment horizontal="right" vertical="center"/>
    </xf>
    <xf numFmtId="3" fontId="91" fillId="0" borderId="0" xfId="14" applyNumberFormat="1" applyFont="1" applyFill="1" applyAlignment="1">
      <alignment horizontal="right" vertical="center"/>
    </xf>
    <xf numFmtId="49" fontId="91" fillId="0" borderId="0" xfId="14" applyNumberFormat="1" applyFont="1" applyAlignment="1">
      <alignment horizontal="center"/>
    </xf>
    <xf numFmtId="3" fontId="91" fillId="0" borderId="0" xfId="14" applyNumberFormat="1" applyFont="1" applyAlignment="1">
      <alignment horizontal="right" vertical="center"/>
    </xf>
    <xf numFmtId="164" fontId="91" fillId="0" borderId="0" xfId="5" applyNumberFormat="1" applyFont="1" applyAlignment="1">
      <alignment horizontal="right" vertical="center"/>
    </xf>
    <xf numFmtId="0" fontId="92" fillId="0" borderId="32" xfId="20" applyFont="1" applyAlignment="1">
      <alignment vertical="center"/>
    </xf>
    <xf numFmtId="0" fontId="92" fillId="0" borderId="32" xfId="20" applyFont="1" applyAlignment="1">
      <alignment horizontal="right" vertical="center"/>
    </xf>
    <xf numFmtId="164" fontId="92" fillId="0" borderId="32" xfId="20" applyNumberFormat="1" applyFont="1" applyFill="1" applyAlignment="1">
      <alignment horizontal="right" vertical="center"/>
    </xf>
    <xf numFmtId="0" fontId="92" fillId="0" borderId="32" xfId="20" applyFont="1" applyFill="1" applyAlignment="1">
      <alignment horizontal="right"/>
    </xf>
    <xf numFmtId="164" fontId="92" fillId="0" borderId="32" xfId="20" applyNumberFormat="1" applyFont="1" applyFill="1" applyAlignment="1">
      <alignment horizontal="right"/>
    </xf>
    <xf numFmtId="0" fontId="92" fillId="0" borderId="32" xfId="20" applyFont="1" applyAlignment="1">
      <alignment vertical="center" wrapText="1"/>
    </xf>
    <xf numFmtId="0" fontId="92" fillId="0" borderId="32" xfId="20" applyFont="1" applyAlignment="1">
      <alignment horizontal="right" vertical="center" wrapText="1"/>
    </xf>
    <xf numFmtId="164" fontId="92" fillId="0" borderId="42" xfId="14" applyNumberFormat="1" applyFont="1" applyBorder="1"/>
    <xf numFmtId="1" fontId="92" fillId="0" borderId="42" xfId="14" applyNumberFormat="1" applyFont="1" applyBorder="1"/>
    <xf numFmtId="164" fontId="92" fillId="0" borderId="42" xfId="14" applyNumberFormat="1" applyFont="1" applyBorder="1" applyAlignment="1">
      <alignment horizontal="right"/>
    </xf>
    <xf numFmtId="164" fontId="92" fillId="0" borderId="42" xfId="14" applyNumberFormat="1" applyFont="1" applyFill="1" applyBorder="1" applyAlignment="1"/>
    <xf numFmtId="164" fontId="92" fillId="0" borderId="42" xfId="14" applyNumberFormat="1" applyFont="1" applyBorder="1" applyAlignment="1"/>
    <xf numFmtId="0" fontId="94" fillId="0" borderId="2" xfId="17" applyFont="1" applyAlignment="1">
      <alignment horizontal="center" vertical="center" wrapText="1"/>
    </xf>
    <xf numFmtId="49" fontId="91" fillId="0" borderId="0" xfId="14" applyNumberFormat="1" applyFont="1" applyFill="1" applyAlignment="1">
      <alignment horizontal="center" vertical="center"/>
    </xf>
    <xf numFmtId="49" fontId="91" fillId="0" borderId="0" xfId="14" applyNumberFormat="1" applyFont="1" applyFill="1" applyAlignment="1">
      <alignment horizontal="center"/>
    </xf>
    <xf numFmtId="0" fontId="92" fillId="0" borderId="32" xfId="20" applyFont="1" applyFill="1" applyAlignment="1">
      <alignment horizontal="right" vertical="center"/>
    </xf>
    <xf numFmtId="1" fontId="92" fillId="0" borderId="32" xfId="20" applyNumberFormat="1" applyFont="1" applyFill="1" applyAlignment="1">
      <alignment horizontal="right" vertical="center"/>
    </xf>
    <xf numFmtId="164" fontId="92" fillId="0" borderId="42" xfId="14" applyNumberFormat="1" applyFont="1" applyBorder="1" applyAlignment="1">
      <alignment vertical="center"/>
    </xf>
    <xf numFmtId="0" fontId="91" fillId="0" borderId="0" xfId="14" applyFont="1" applyAlignment="1">
      <alignment horizontal="left" wrapText="1"/>
    </xf>
    <xf numFmtId="0" fontId="92" fillId="0" borderId="43" xfId="16" applyFont="1" applyBorder="1" applyAlignment="1">
      <alignment vertical="center"/>
    </xf>
    <xf numFmtId="0" fontId="92" fillId="0" borderId="3" xfId="16" applyFont="1" applyBorder="1" applyAlignment="1">
      <alignment vertical="center"/>
    </xf>
    <xf numFmtId="0" fontId="92" fillId="0" borderId="3" xfId="16" applyFont="1" applyBorder="1" applyAlignment="1">
      <alignment vertical="center" wrapText="1"/>
    </xf>
    <xf numFmtId="0" fontId="92" fillId="0" borderId="44" xfId="16" applyFont="1" applyBorder="1" applyAlignment="1">
      <alignment vertical="center" wrapText="1"/>
    </xf>
    <xf numFmtId="0" fontId="92" fillId="0" borderId="2" xfId="15" applyFont="1" applyBorder="1" applyAlignment="1">
      <alignment vertical="center"/>
    </xf>
    <xf numFmtId="0" fontId="92" fillId="0" borderId="2" xfId="15" applyFont="1" applyBorder="1" applyAlignment="1">
      <alignment vertical="center" wrapText="1"/>
    </xf>
    <xf numFmtId="3" fontId="91" fillId="9" borderId="0" xfId="0" applyNumberFormat="1" applyFont="1" applyFill="1"/>
    <xf numFmtId="0" fontId="77" fillId="8" borderId="0" xfId="1" applyFont="1" applyFill="1" applyBorder="1" applyAlignment="1">
      <alignment horizontal="right" vertical="center"/>
    </xf>
    <xf numFmtId="0" fontId="77" fillId="8" borderId="15" xfId="1" applyFont="1" applyFill="1" applyBorder="1" applyAlignment="1">
      <alignment horizontal="right" vertical="center" wrapText="1"/>
    </xf>
    <xf numFmtId="0" fontId="77" fillId="8" borderId="0" xfId="1" applyFont="1" applyFill="1" applyBorder="1" applyAlignment="1">
      <alignment horizontal="right" vertical="center" wrapText="1"/>
    </xf>
    <xf numFmtId="0" fontId="77" fillId="8" borderId="16" xfId="1" applyFont="1" applyFill="1" applyBorder="1" applyAlignment="1">
      <alignment horizontal="right" vertical="center" wrapText="1"/>
    </xf>
    <xf numFmtId="3" fontId="36" fillId="9" borderId="16" xfId="0" applyNumberFormat="1" applyFont="1" applyFill="1" applyBorder="1" applyAlignment="1">
      <alignment horizontal="right"/>
    </xf>
    <xf numFmtId="0" fontId="63" fillId="0" borderId="22" xfId="0" applyFont="1" applyBorder="1"/>
    <xf numFmtId="0" fontId="77" fillId="8" borderId="0" xfId="1" applyFont="1" applyFill="1" applyBorder="1"/>
    <xf numFmtId="0" fontId="77" fillId="8" borderId="0" xfId="1" applyFont="1" applyFill="1" applyBorder="1" applyAlignment="1">
      <alignment vertical="center"/>
    </xf>
    <xf numFmtId="3" fontId="91" fillId="9" borderId="15" xfId="0" applyNumberFormat="1" applyFont="1" applyFill="1" applyBorder="1" applyAlignment="1">
      <alignment horizontal="right"/>
    </xf>
    <xf numFmtId="3" fontId="91" fillId="9" borderId="0" xfId="0" applyNumberFormat="1" applyFont="1" applyFill="1" applyAlignment="1">
      <alignment horizontal="right"/>
    </xf>
    <xf numFmtId="0" fontId="77" fillId="8" borderId="45" xfId="1" applyFont="1" applyFill="1" applyBorder="1" applyAlignment="1">
      <alignment horizontal="right" vertical="center"/>
    </xf>
    <xf numFmtId="0" fontId="77" fillId="8" borderId="46" xfId="1" applyFont="1" applyFill="1" applyBorder="1" applyAlignment="1">
      <alignment horizontal="right" vertical="center"/>
    </xf>
    <xf numFmtId="3" fontId="36" fillId="9" borderId="45" xfId="0" applyNumberFormat="1" applyFont="1" applyFill="1" applyBorder="1"/>
    <xf numFmtId="3" fontId="36" fillId="9" borderId="46" xfId="0" applyNumberFormat="1" applyFont="1" applyFill="1" applyBorder="1"/>
    <xf numFmtId="3" fontId="91" fillId="9" borderId="45" xfId="0" applyNumberFormat="1" applyFont="1" applyFill="1" applyBorder="1"/>
    <xf numFmtId="3" fontId="91" fillId="9" borderId="46" xfId="0" applyNumberFormat="1" applyFont="1" applyFill="1" applyBorder="1"/>
    <xf numFmtId="3" fontId="85" fillId="9" borderId="45" xfId="0" applyNumberFormat="1" applyFont="1" applyFill="1" applyBorder="1"/>
    <xf numFmtId="3" fontId="85" fillId="9" borderId="46" xfId="0" applyNumberFormat="1" applyFont="1" applyFill="1" applyBorder="1"/>
    <xf numFmtId="0" fontId="77" fillId="8" borderId="45" xfId="1" applyFont="1" applyFill="1" applyBorder="1" applyAlignment="1">
      <alignment horizontal="right" vertical="center" wrapText="1"/>
    </xf>
    <xf numFmtId="0" fontId="77" fillId="8" borderId="46" xfId="1" applyFont="1" applyFill="1" applyBorder="1" applyAlignment="1">
      <alignment horizontal="right" vertical="center" wrapText="1"/>
    </xf>
    <xf numFmtId="3" fontId="36" fillId="0" borderId="45" xfId="0" applyNumberFormat="1" applyFont="1" applyBorder="1"/>
    <xf numFmtId="3" fontId="36" fillId="0" borderId="46" xfId="0" applyNumberFormat="1" applyFont="1" applyBorder="1"/>
    <xf numFmtId="0" fontId="36" fillId="0" borderId="47" xfId="0" applyFont="1" applyBorder="1"/>
    <xf numFmtId="0" fontId="36" fillId="0" borderId="48" xfId="0" applyFont="1" applyBorder="1"/>
    <xf numFmtId="0" fontId="36" fillId="0" borderId="49" xfId="0" applyFont="1" applyBorder="1"/>
    <xf numFmtId="0" fontId="96" fillId="0" borderId="0" xfId="0" applyFont="1"/>
    <xf numFmtId="0" fontId="36" fillId="9" borderId="45" xfId="0" applyFont="1" applyFill="1" applyBorder="1"/>
    <xf numFmtId="0" fontId="63" fillId="9" borderId="47" xfId="0" applyFont="1" applyFill="1" applyBorder="1"/>
    <xf numFmtId="3" fontId="36" fillId="9" borderId="47" xfId="0" applyNumberFormat="1" applyFont="1" applyFill="1" applyBorder="1"/>
    <xf numFmtId="3" fontId="36" fillId="9" borderId="48" xfId="0" applyNumberFormat="1" applyFont="1" applyFill="1" applyBorder="1"/>
    <xf numFmtId="3" fontId="36" fillId="9" borderId="49" xfId="0" applyNumberFormat="1" applyFont="1" applyFill="1" applyBorder="1"/>
    <xf numFmtId="0" fontId="71" fillId="8" borderId="0" xfId="1" applyFont="1" applyFill="1" applyBorder="1" applyAlignment="1">
      <alignment vertical="center"/>
    </xf>
    <xf numFmtId="0" fontId="71" fillId="8" borderId="0" xfId="1" applyFont="1" applyFill="1" applyBorder="1" applyAlignment="1">
      <alignment vertical="center" wrapText="1"/>
    </xf>
    <xf numFmtId="3" fontId="91" fillId="9" borderId="2" xfId="0" applyNumberFormat="1" applyFont="1" applyFill="1" applyBorder="1"/>
    <xf numFmtId="0" fontId="91" fillId="0" borderId="0" xfId="0" applyFont="1"/>
    <xf numFmtId="164" fontId="91" fillId="9" borderId="0" xfId="5" applyNumberFormat="1" applyFont="1" applyFill="1"/>
    <xf numFmtId="3" fontId="98" fillId="9" borderId="45" xfId="0" applyNumberFormat="1" applyFont="1" applyFill="1" applyBorder="1"/>
    <xf numFmtId="3" fontId="98" fillId="9" borderId="0" xfId="0" applyNumberFormat="1" applyFont="1" applyFill="1"/>
    <xf numFmtId="3" fontId="98" fillId="9" borderId="46" xfId="0" applyNumberFormat="1" applyFont="1" applyFill="1" applyBorder="1"/>
    <xf numFmtId="3" fontId="91" fillId="9" borderId="2" xfId="0" applyNumberFormat="1" applyFont="1" applyFill="1" applyBorder="1" applyAlignment="1">
      <alignment horizontal="right"/>
    </xf>
    <xf numFmtId="0" fontId="92" fillId="9" borderId="0" xfId="0" applyFont="1" applyFill="1"/>
    <xf numFmtId="0" fontId="91" fillId="9" borderId="0" xfId="0" applyFont="1" applyFill="1"/>
    <xf numFmtId="0" fontId="91" fillId="9" borderId="0" xfId="0" applyFont="1" applyFill="1" applyAlignment="1">
      <alignment horizontal="right"/>
    </xf>
    <xf numFmtId="9" fontId="91" fillId="9" borderId="0" xfId="0" applyNumberFormat="1" applyFont="1" applyFill="1" applyAlignment="1">
      <alignment horizontal="right"/>
    </xf>
    <xf numFmtId="9" fontId="91" fillId="9" borderId="0" xfId="0" applyNumberFormat="1" applyFont="1" applyFill="1"/>
    <xf numFmtId="9" fontId="91" fillId="9" borderId="0" xfId="5" applyFont="1" applyFill="1" applyBorder="1"/>
    <xf numFmtId="9" fontId="91" fillId="9" borderId="2" xfId="0" applyNumberFormat="1" applyFont="1" applyFill="1" applyBorder="1" applyAlignment="1">
      <alignment horizontal="right"/>
    </xf>
    <xf numFmtId="9" fontId="91" fillId="9" borderId="2" xfId="0" applyNumberFormat="1" applyFont="1" applyFill="1" applyBorder="1"/>
    <xf numFmtId="9" fontId="91" fillId="9" borderId="2" xfId="5" applyFont="1" applyFill="1" applyBorder="1"/>
    <xf numFmtId="9" fontId="91" fillId="9" borderId="0" xfId="5" applyFont="1" applyFill="1"/>
    <xf numFmtId="9" fontId="91" fillId="0" borderId="0" xfId="0" applyNumberFormat="1" applyFont="1"/>
    <xf numFmtId="9" fontId="91" fillId="9" borderId="0" xfId="5" applyFont="1" applyFill="1" applyAlignment="1">
      <alignment horizontal="right"/>
    </xf>
    <xf numFmtId="9" fontId="91" fillId="9" borderId="0" xfId="5" applyFont="1" applyFill="1" applyBorder="1" applyAlignment="1">
      <alignment horizontal="right"/>
    </xf>
    <xf numFmtId="9" fontId="91" fillId="9" borderId="2" xfId="5" applyFont="1" applyFill="1" applyBorder="1" applyAlignment="1">
      <alignment horizontal="right"/>
    </xf>
    <xf numFmtId="164" fontId="92" fillId="9" borderId="0" xfId="5" applyNumberFormat="1" applyFont="1" applyFill="1"/>
    <xf numFmtId="0" fontId="99" fillId="0" borderId="0" xfId="0" applyFont="1" applyAlignment="1">
      <alignment wrapText="1"/>
    </xf>
    <xf numFmtId="0" fontId="92" fillId="9" borderId="0" xfId="0" applyFont="1" applyFill="1" applyAlignment="1">
      <alignment wrapText="1"/>
    </xf>
    <xf numFmtId="0" fontId="91" fillId="9" borderId="0" xfId="0" applyFont="1" applyFill="1" applyAlignment="1">
      <alignment wrapText="1"/>
    </xf>
    <xf numFmtId="0" fontId="92" fillId="0" borderId="0" xfId="0" applyFont="1" applyAlignment="1">
      <alignment wrapText="1"/>
    </xf>
    <xf numFmtId="0" fontId="91" fillId="9" borderId="2" xfId="0" applyFont="1" applyFill="1" applyBorder="1" applyAlignment="1">
      <alignment wrapText="1"/>
    </xf>
    <xf numFmtId="0" fontId="91" fillId="0" borderId="0" xfId="0" applyFont="1" applyAlignment="1">
      <alignment wrapText="1"/>
    </xf>
    <xf numFmtId="0" fontId="91" fillId="0" borderId="0" xfId="0" applyFont="1" applyAlignment="1">
      <alignment vertical="center"/>
    </xf>
    <xf numFmtId="0" fontId="77" fillId="0" borderId="0" xfId="0" applyFont="1" applyAlignment="1">
      <alignment vertical="center"/>
    </xf>
    <xf numFmtId="0" fontId="91" fillId="0" borderId="0" xfId="0" applyFont="1" applyAlignment="1">
      <alignment vertical="center" wrapText="1"/>
    </xf>
    <xf numFmtId="0" fontId="77" fillId="0" borderId="0" xfId="0" applyFont="1" applyAlignment="1">
      <alignment vertical="center" wrapText="1"/>
    </xf>
    <xf numFmtId="0" fontId="91" fillId="9" borderId="48" xfId="0" applyFont="1" applyFill="1" applyBorder="1" applyAlignment="1">
      <alignment wrapText="1"/>
    </xf>
    <xf numFmtId="3" fontId="91" fillId="9" borderId="48" xfId="0" applyNumberFormat="1" applyFont="1" applyFill="1" applyBorder="1" applyAlignment="1">
      <alignment horizontal="right"/>
    </xf>
    <xf numFmtId="3" fontId="91" fillId="9" borderId="48" xfId="0" applyNumberFormat="1" applyFont="1" applyFill="1" applyBorder="1"/>
    <xf numFmtId="3" fontId="91" fillId="0" borderId="0" xfId="0" applyNumberFormat="1" applyFont="1"/>
    <xf numFmtId="3" fontId="72" fillId="0" borderId="0" xfId="0" applyNumberFormat="1" applyFont="1" applyAlignment="1">
      <alignment vertical="center"/>
    </xf>
    <xf numFmtId="0" fontId="16" fillId="8" borderId="2" xfId="1" applyFont="1" applyFill="1" applyBorder="1" applyAlignment="1">
      <alignment vertical="center" wrapText="1"/>
    </xf>
    <xf numFmtId="166" fontId="0" fillId="0" borderId="0" xfId="6" applyNumberFormat="1" applyFont="1" applyFill="1" applyAlignment="1">
      <alignment horizontal="right" vertical="top"/>
    </xf>
    <xf numFmtId="166" fontId="43" fillId="0" borderId="0" xfId="6" applyNumberFormat="1" applyFont="1" applyFill="1"/>
    <xf numFmtId="0" fontId="28" fillId="9" borderId="0" xfId="0" applyFont="1" applyFill="1" applyAlignment="1">
      <alignment vertical="center"/>
    </xf>
    <xf numFmtId="9" fontId="28" fillId="9" borderId="0" xfId="0" applyNumberFormat="1" applyFont="1" applyFill="1" applyAlignment="1">
      <alignment horizontal="right" vertical="center"/>
    </xf>
    <xf numFmtId="0" fontId="100" fillId="0" borderId="0" xfId="0" applyFont="1" applyAlignment="1">
      <alignment horizontal="center"/>
    </xf>
    <xf numFmtId="0" fontId="101" fillId="0" borderId="0" xfId="0" applyFont="1" applyAlignment="1">
      <alignment horizontal="left" vertical="center" wrapText="1"/>
    </xf>
    <xf numFmtId="0" fontId="102" fillId="0" borderId="0" xfId="10" applyFont="1"/>
    <xf numFmtId="0" fontId="103" fillId="0" borderId="0" xfId="0" applyFont="1" applyAlignment="1">
      <alignment horizontal="center"/>
    </xf>
    <xf numFmtId="0" fontId="36" fillId="0" borderId="9" xfId="14" applyFont="1" applyBorder="1"/>
    <xf numFmtId="166" fontId="36" fillId="0" borderId="9" xfId="13" applyNumberFormat="1" applyFont="1" applyBorder="1" applyAlignment="1">
      <alignment horizontal="right"/>
    </xf>
    <xf numFmtId="164" fontId="36" fillId="0" borderId="9" xfId="5" applyNumberFormat="1" applyFont="1" applyFill="1" applyBorder="1" applyAlignment="1">
      <alignment horizontal="right"/>
    </xf>
    <xf numFmtId="0" fontId="36" fillId="0" borderId="9" xfId="14" applyFont="1" applyBorder="1" applyAlignment="1">
      <alignment horizontal="right"/>
    </xf>
    <xf numFmtId="0" fontId="61" fillId="0" borderId="2" xfId="16" applyFont="1" applyAlignment="1">
      <alignment vertical="center"/>
    </xf>
    <xf numFmtId="0" fontId="36" fillId="0" borderId="0" xfId="14" applyFont="1" applyAlignment="1">
      <alignment vertical="center"/>
    </xf>
    <xf numFmtId="0" fontId="73" fillId="0" borderId="0" xfId="14" applyFont="1" applyAlignment="1">
      <alignment vertical="center"/>
    </xf>
    <xf numFmtId="0" fontId="10" fillId="0" borderId="0" xfId="3" applyAlignment="1">
      <alignment vertical="center"/>
    </xf>
    <xf numFmtId="0" fontId="20" fillId="0" borderId="0" xfId="15" applyAlignment="1">
      <alignment vertical="center" wrapText="1"/>
    </xf>
    <xf numFmtId="0" fontId="31" fillId="0" borderId="0" xfId="14" applyFont="1" applyAlignment="1">
      <alignment horizontal="center"/>
    </xf>
    <xf numFmtId="0" fontId="31" fillId="0" borderId="0" xfId="0" applyFont="1" applyAlignment="1">
      <alignment vertical="center"/>
    </xf>
    <xf numFmtId="0" fontId="105" fillId="0" borderId="0" xfId="3" applyFont="1"/>
    <xf numFmtId="0" fontId="61" fillId="0" borderId="2" xfId="19" applyFont="1" applyFill="1" applyAlignment="1">
      <alignment vertical="center"/>
    </xf>
    <xf numFmtId="0" fontId="87" fillId="0" borderId="0" xfId="0" applyFont="1" applyAlignment="1">
      <alignment vertical="top" wrapText="1"/>
    </xf>
    <xf numFmtId="0" fontId="2" fillId="0" borderId="0" xfId="14" applyAlignment="1">
      <alignment vertical="top"/>
    </xf>
    <xf numFmtId="0" fontId="18" fillId="8" borderId="20" xfId="1" applyFont="1" applyFill="1" applyBorder="1" applyAlignment="1">
      <alignment horizontal="left" vertical="center"/>
    </xf>
    <xf numFmtId="0" fontId="18" fillId="8" borderId="20" xfId="1" applyFont="1" applyFill="1" applyBorder="1" applyAlignment="1">
      <alignment horizontal="right" vertical="center"/>
    </xf>
    <xf numFmtId="0" fontId="106" fillId="0" borderId="0" xfId="0" applyFont="1"/>
    <xf numFmtId="9" fontId="0" fillId="0" borderId="0" xfId="0" applyNumberFormat="1" applyAlignment="1">
      <alignment horizontal="right"/>
    </xf>
    <xf numFmtId="0" fontId="108" fillId="0" borderId="0" xfId="0" applyFont="1"/>
    <xf numFmtId="166" fontId="0" fillId="0" borderId="0" xfId="6" applyNumberFormat="1" applyFont="1" applyFill="1" applyBorder="1"/>
    <xf numFmtId="166" fontId="0" fillId="0" borderId="0" xfId="6" applyNumberFormat="1" applyFont="1" applyAlignment="1">
      <alignment horizontal="right"/>
    </xf>
    <xf numFmtId="0" fontId="0" fillId="0" borderId="0" xfId="0" applyAlignment="1">
      <alignment horizontal="left" indent="1"/>
    </xf>
    <xf numFmtId="0" fontId="0" fillId="0" borderId="0" xfId="0" applyAlignment="1">
      <alignment horizontal="left"/>
    </xf>
    <xf numFmtId="0" fontId="104" fillId="0" borderId="0" xfId="0" applyFont="1" applyAlignment="1">
      <alignment horizontal="center" wrapText="1"/>
    </xf>
    <xf numFmtId="0" fontId="104" fillId="0" borderId="0" xfId="0" applyFont="1" applyAlignment="1">
      <alignment horizontal="center"/>
    </xf>
    <xf numFmtId="0" fontId="100" fillId="0" borderId="0" xfId="0" applyFont="1" applyAlignment="1">
      <alignment horizontal="center" vertical="center" wrapText="1"/>
    </xf>
    <xf numFmtId="0" fontId="112" fillId="0" borderId="0" xfId="0" applyFont="1" applyAlignment="1">
      <alignment horizontal="center"/>
    </xf>
    <xf numFmtId="0" fontId="113" fillId="0" borderId="0" xfId="0" applyFont="1" applyAlignment="1">
      <alignment horizontal="center" vertical="center"/>
    </xf>
    <xf numFmtId="0" fontId="43" fillId="9" borderId="0" xfId="0" applyFont="1" applyFill="1" applyAlignment="1">
      <alignment horizontal="left" vertical="center" wrapText="1"/>
    </xf>
    <xf numFmtId="0" fontId="44" fillId="9" borderId="26" xfId="0" applyFont="1" applyFill="1" applyBorder="1" applyAlignment="1">
      <alignment horizontal="left" vertical="center" wrapText="1"/>
    </xf>
    <xf numFmtId="0" fontId="44" fillId="9" borderId="27" xfId="0" applyFont="1" applyFill="1" applyBorder="1" applyAlignment="1">
      <alignment horizontal="left" vertical="center" wrapText="1"/>
    </xf>
    <xf numFmtId="0" fontId="43" fillId="9" borderId="10" xfId="0" applyFont="1" applyFill="1" applyBorder="1" applyAlignment="1">
      <alignment horizontal="left" vertical="center" wrapText="1"/>
    </xf>
    <xf numFmtId="0" fontId="44" fillId="9" borderId="28" xfId="0" applyFont="1" applyFill="1" applyBorder="1" applyAlignment="1">
      <alignment horizontal="left" vertical="center" wrapText="1"/>
    </xf>
    <xf numFmtId="0" fontId="44" fillId="9" borderId="1" xfId="0" applyFont="1" applyFill="1" applyBorder="1" applyAlignment="1">
      <alignment horizontal="left" vertical="center" wrapText="1"/>
    </xf>
    <xf numFmtId="0" fontId="113" fillId="0" borderId="0" xfId="10" applyFont="1" applyAlignment="1">
      <alignment horizontal="center"/>
    </xf>
    <xf numFmtId="0" fontId="113" fillId="0" borderId="0" xfId="0" applyFont="1" applyAlignment="1">
      <alignment horizontal="center" vertical="top"/>
    </xf>
    <xf numFmtId="0" fontId="115" fillId="0" borderId="0" xfId="0" applyFont="1" applyAlignment="1">
      <alignment horizontal="center"/>
    </xf>
    <xf numFmtId="168" fontId="36" fillId="0" borderId="0" xfId="13" applyNumberFormat="1" applyFont="1" applyAlignment="1">
      <alignment horizontal="center"/>
    </xf>
    <xf numFmtId="0" fontId="77" fillId="13" borderId="36" xfId="0" applyFont="1" applyFill="1" applyBorder="1" applyAlignment="1">
      <alignment horizontal="center" vertical="center" wrapText="1"/>
    </xf>
    <xf numFmtId="0" fontId="77" fillId="13" borderId="0" xfId="0" applyFont="1" applyFill="1" applyAlignment="1">
      <alignment horizontal="center" vertical="center" wrapText="1"/>
    </xf>
    <xf numFmtId="0" fontId="77" fillId="12" borderId="0" xfId="0" applyFont="1" applyFill="1" applyAlignment="1">
      <alignment horizontal="center" vertical="center"/>
    </xf>
    <xf numFmtId="0" fontId="77" fillId="12" borderId="35" xfId="0" applyFont="1" applyFill="1" applyBorder="1" applyAlignment="1">
      <alignment horizontal="center" vertical="center"/>
    </xf>
    <xf numFmtId="0" fontId="71" fillId="12" borderId="0" xfId="0" applyFont="1" applyFill="1" applyAlignment="1">
      <alignment horizontal="center"/>
    </xf>
    <xf numFmtId="0" fontId="71" fillId="12" borderId="35" xfId="0" applyFont="1" applyFill="1" applyBorder="1" applyAlignment="1">
      <alignment horizontal="center"/>
    </xf>
    <xf numFmtId="0" fontId="71" fillId="13" borderId="36" xfId="0" applyFont="1" applyFill="1" applyBorder="1" applyAlignment="1">
      <alignment horizontal="center" vertical="center"/>
    </xf>
    <xf numFmtId="0" fontId="71" fillId="13" borderId="0" xfId="0" applyFont="1" applyFill="1" applyAlignment="1">
      <alignment horizontal="center" vertical="center"/>
    </xf>
    <xf numFmtId="0" fontId="111" fillId="11" borderId="0" xfId="14" applyFont="1" applyFill="1" applyAlignment="1">
      <alignment horizontal="left"/>
    </xf>
    <xf numFmtId="0" fontId="116" fillId="0" borderId="0" xfId="14" applyFont="1" applyAlignment="1">
      <alignment horizontal="center"/>
    </xf>
    <xf numFmtId="0" fontId="36" fillId="0" borderId="0" xfId="14" applyFont="1" applyAlignment="1">
      <alignment horizontal="left" vertical="top" wrapText="1"/>
    </xf>
    <xf numFmtId="0" fontId="36" fillId="0" borderId="0" xfId="14" applyFont="1" applyAlignment="1">
      <alignment horizontal="left" vertical="center"/>
    </xf>
    <xf numFmtId="0" fontId="36" fillId="0" borderId="2" xfId="14" applyFont="1" applyBorder="1" applyAlignment="1">
      <alignment horizontal="left" vertical="center"/>
    </xf>
    <xf numFmtId="0" fontId="61" fillId="0" borderId="0" xfId="15" applyFont="1" applyFill="1" applyAlignment="1">
      <alignment horizontal="center" vertical="center" wrapText="1"/>
    </xf>
    <xf numFmtId="0" fontId="64" fillId="0" borderId="0" xfId="14" applyFont="1" applyAlignment="1">
      <alignment horizontal="center" vertical="center"/>
    </xf>
    <xf numFmtId="0" fontId="64" fillId="0" borderId="0" xfId="14" applyFont="1" applyAlignment="1">
      <alignment horizontal="center"/>
    </xf>
    <xf numFmtId="0" fontId="64" fillId="0" borderId="2" xfId="14" applyFont="1" applyBorder="1" applyAlignment="1">
      <alignment horizontal="center"/>
    </xf>
    <xf numFmtId="0" fontId="0" fillId="0" borderId="0" xfId="0" applyAlignment="1">
      <alignment horizontal="left" vertical="top" wrapText="1"/>
    </xf>
    <xf numFmtId="0" fontId="29" fillId="0" borderId="0" xfId="0" applyFont="1" applyAlignment="1">
      <alignment horizontal="left" vertical="top" wrapText="1"/>
    </xf>
    <xf numFmtId="0" fontId="5" fillId="0" borderId="0" xfId="0" applyFont="1" applyAlignment="1">
      <alignment horizontal="left" vertical="top" wrapText="1"/>
    </xf>
    <xf numFmtId="0" fontId="69" fillId="0" borderId="0" xfId="0" applyFont="1" applyAlignment="1">
      <alignment horizontal="left" vertical="top" wrapText="1"/>
    </xf>
    <xf numFmtId="0" fontId="83" fillId="0" borderId="0" xfId="0" applyFont="1" applyAlignment="1">
      <alignment horizontal="left" vertical="center" wrapText="1"/>
    </xf>
    <xf numFmtId="0" fontId="113" fillId="0" borderId="0" xfId="14" applyFont="1" applyAlignment="1">
      <alignment horizontal="center"/>
    </xf>
    <xf numFmtId="0" fontId="64" fillId="0" borderId="0" xfId="9" applyFont="1" applyAlignment="1">
      <alignment horizontal="left" vertical="center"/>
    </xf>
    <xf numFmtId="0" fontId="64" fillId="0" borderId="2" xfId="9" applyFont="1" applyBorder="1" applyAlignment="1">
      <alignment horizontal="left" vertical="center"/>
    </xf>
    <xf numFmtId="0" fontId="64" fillId="0" borderId="0" xfId="9" applyFont="1" applyAlignment="1">
      <alignment horizontal="left" vertical="center" wrapText="1"/>
    </xf>
    <xf numFmtId="0" fontId="64" fillId="0" borderId="2" xfId="9" applyFont="1" applyBorder="1" applyAlignment="1">
      <alignment horizontal="left" vertical="center" wrapText="1"/>
    </xf>
    <xf numFmtId="0" fontId="64" fillId="0" borderId="0" xfId="9" applyFont="1" applyAlignment="1">
      <alignment horizontal="center" vertical="center" wrapText="1"/>
    </xf>
    <xf numFmtId="0" fontId="64" fillId="0" borderId="2" xfId="9" applyFont="1" applyBorder="1" applyAlignment="1">
      <alignment horizontal="center" vertical="center" wrapText="1"/>
    </xf>
    <xf numFmtId="0" fontId="64" fillId="0" borderId="0" xfId="9" applyFont="1" applyAlignment="1">
      <alignment horizontal="center" wrapText="1"/>
    </xf>
    <xf numFmtId="0" fontId="113" fillId="0" borderId="0" xfId="21" applyFont="1" applyAlignment="1">
      <alignment horizontal="center" vertical="center"/>
    </xf>
    <xf numFmtId="0" fontId="83" fillId="0" borderId="0" xfId="0" applyFont="1" applyAlignment="1">
      <alignment horizontal="center" vertical="top" wrapText="1"/>
    </xf>
    <xf numFmtId="0" fontId="31" fillId="0" borderId="0" xfId="0" applyFont="1" applyAlignment="1">
      <alignment horizontal="center" vertical="center"/>
    </xf>
    <xf numFmtId="0" fontId="87" fillId="0" borderId="0" xfId="0" applyFont="1" applyAlignment="1">
      <alignment horizontal="left" vertical="top" wrapText="1"/>
    </xf>
    <xf numFmtId="0" fontId="113" fillId="9" borderId="0" xfId="0" applyFont="1" applyFill="1" applyAlignment="1">
      <alignment horizontal="center" vertical="center"/>
    </xf>
    <xf numFmtId="0" fontId="2" fillId="0" borderId="0" xfId="12" applyAlignment="1">
      <alignment horizontal="left" vertical="top" wrapText="1"/>
    </xf>
    <xf numFmtId="0" fontId="18" fillId="8" borderId="7" xfId="1" applyFont="1" applyFill="1" applyBorder="1" applyAlignment="1">
      <alignment horizontal="center" vertical="center"/>
    </xf>
    <xf numFmtId="0" fontId="18" fillId="8" borderId="0" xfId="1" applyFont="1" applyFill="1" applyBorder="1" applyAlignment="1">
      <alignment horizontal="center" vertical="center"/>
    </xf>
    <xf numFmtId="0" fontId="0" fillId="0" borderId="0" xfId="0" applyAlignment="1">
      <alignment horizontal="left" vertical="center" wrapText="1"/>
    </xf>
    <xf numFmtId="0" fontId="71" fillId="8" borderId="0" xfId="1" applyFont="1" applyFill="1" applyBorder="1" applyAlignment="1">
      <alignment horizontal="left" vertical="center" wrapText="1"/>
    </xf>
    <xf numFmtId="0" fontId="117" fillId="0" borderId="0" xfId="0" applyFont="1" applyAlignment="1">
      <alignment horizontal="center" vertical="center"/>
    </xf>
    <xf numFmtId="3" fontId="36" fillId="9" borderId="15" xfId="0" applyNumberFormat="1" applyFont="1" applyFill="1" applyBorder="1" applyAlignment="1">
      <alignment horizontal="center" vertical="center"/>
    </xf>
    <xf numFmtId="3" fontId="36" fillId="9" borderId="0" xfId="0" applyNumberFormat="1" applyFont="1" applyFill="1" applyAlignment="1">
      <alignment horizontal="center" vertical="center"/>
    </xf>
    <xf numFmtId="3" fontId="36" fillId="9" borderId="16" xfId="0" applyNumberFormat="1" applyFont="1" applyFill="1" applyBorder="1" applyAlignment="1">
      <alignment horizontal="center" vertical="center"/>
    </xf>
    <xf numFmtId="0" fontId="77" fillId="8" borderId="50" xfId="1" applyFont="1" applyFill="1" applyBorder="1" applyAlignment="1">
      <alignment horizontal="left" vertical="center" wrapText="1"/>
    </xf>
    <xf numFmtId="0" fontId="77" fillId="8" borderId="45" xfId="1" applyFont="1" applyFill="1" applyBorder="1" applyAlignment="1">
      <alignment horizontal="left" vertical="center" wrapText="1"/>
    </xf>
    <xf numFmtId="0" fontId="77" fillId="8" borderId="50" xfId="1" applyFont="1" applyFill="1" applyBorder="1" applyAlignment="1">
      <alignment horizontal="center" vertical="center"/>
    </xf>
    <xf numFmtId="0" fontId="77" fillId="8" borderId="51" xfId="1" applyFont="1" applyFill="1" applyBorder="1" applyAlignment="1">
      <alignment horizontal="center" vertical="center"/>
    </xf>
    <xf numFmtId="0" fontId="77" fillId="8" borderId="52" xfId="1" applyFont="1" applyFill="1" applyBorder="1" applyAlignment="1">
      <alignment horizontal="center" vertical="center"/>
    </xf>
    <xf numFmtId="0" fontId="77" fillId="8" borderId="50" xfId="1" applyFont="1" applyFill="1" applyBorder="1" applyAlignment="1">
      <alignment horizontal="center"/>
    </xf>
    <xf numFmtId="0" fontId="77" fillId="8" borderId="51" xfId="1" applyFont="1" applyFill="1" applyBorder="1" applyAlignment="1">
      <alignment horizontal="center"/>
    </xf>
    <xf numFmtId="0" fontId="77" fillId="8" borderId="52" xfId="1" applyFont="1" applyFill="1" applyBorder="1" applyAlignment="1">
      <alignment horizontal="center"/>
    </xf>
    <xf numFmtId="0" fontId="118" fillId="0" borderId="0" xfId="0" applyFont="1" applyAlignment="1">
      <alignment horizontal="center" vertical="center"/>
    </xf>
    <xf numFmtId="0" fontId="77" fillId="8" borderId="12" xfId="1" applyFont="1" applyFill="1" applyBorder="1" applyAlignment="1">
      <alignment horizontal="center" vertical="center"/>
    </xf>
    <xf numFmtId="0" fontId="77" fillId="8" borderId="13" xfId="1" applyFont="1" applyFill="1" applyBorder="1" applyAlignment="1">
      <alignment horizontal="center" vertical="center"/>
    </xf>
    <xf numFmtId="0" fontId="77" fillId="8" borderId="14" xfId="1" applyFont="1" applyFill="1" applyBorder="1" applyAlignment="1">
      <alignment horizontal="center" vertical="center"/>
    </xf>
    <xf numFmtId="0" fontId="77" fillId="8" borderId="23" xfId="1" applyFont="1" applyFill="1" applyBorder="1" applyAlignment="1">
      <alignment horizontal="center"/>
    </xf>
    <xf numFmtId="0" fontId="77" fillId="8" borderId="24" xfId="1" applyFont="1" applyFill="1" applyBorder="1" applyAlignment="1">
      <alignment horizontal="center"/>
    </xf>
    <xf numFmtId="0" fontId="77" fillId="8" borderId="20" xfId="1" applyFont="1" applyFill="1" applyBorder="1" applyAlignment="1">
      <alignment horizontal="left" vertical="center" wrapText="1"/>
    </xf>
    <xf numFmtId="0" fontId="77" fillId="8" borderId="21" xfId="1" applyFont="1" applyFill="1" applyBorder="1" applyAlignment="1">
      <alignment horizontal="left" vertical="center" wrapText="1"/>
    </xf>
    <xf numFmtId="0" fontId="77" fillId="8" borderId="45" xfId="1" applyFont="1" applyFill="1" applyBorder="1" applyAlignment="1">
      <alignment horizontal="center"/>
    </xf>
    <xf numFmtId="0" fontId="77" fillId="8" borderId="0" xfId="1" applyFont="1" applyFill="1" applyBorder="1" applyAlignment="1">
      <alignment horizontal="center"/>
    </xf>
    <xf numFmtId="0" fontId="77" fillId="8" borderId="46" xfId="1" applyFont="1" applyFill="1" applyBorder="1" applyAlignment="1">
      <alignment horizontal="center"/>
    </xf>
    <xf numFmtId="0" fontId="117" fillId="0" borderId="0" xfId="22" applyFont="1" applyAlignment="1">
      <alignment horizontal="center"/>
    </xf>
    <xf numFmtId="0" fontId="32" fillId="9" borderId="0" xfId="0" applyFont="1" applyFill="1"/>
    <xf numFmtId="0" fontId="114" fillId="0" borderId="0" xfId="14" applyFont="1" applyAlignment="1">
      <alignment horizontal="center"/>
    </xf>
    <xf numFmtId="0" fontId="113" fillId="0" borderId="0" xfId="0" applyFont="1" applyAlignment="1">
      <alignment horizontal="center"/>
    </xf>
    <xf numFmtId="0" fontId="108" fillId="0" borderId="0" xfId="0" applyFont="1" applyAlignment="1">
      <alignment horizontal="left" vertical="top" wrapText="1"/>
    </xf>
    <xf numFmtId="0" fontId="5" fillId="9" borderId="0" xfId="0" applyFont="1" applyFill="1" applyAlignment="1">
      <alignment horizontal="center" vertical="center" wrapText="1"/>
    </xf>
    <xf numFmtId="0" fontId="23" fillId="0" borderId="0" xfId="0" applyFont="1" applyAlignment="1">
      <alignment horizontal="center" vertical="top" wrapText="1"/>
    </xf>
    <xf numFmtId="0" fontId="92" fillId="0" borderId="3" xfId="16" applyFont="1" applyBorder="1" applyAlignment="1">
      <alignment horizontal="center" vertical="center" wrapText="1"/>
    </xf>
    <xf numFmtId="0" fontId="119" fillId="0" borderId="0" xfId="14" applyFont="1" applyAlignment="1">
      <alignment horizontal="center"/>
    </xf>
    <xf numFmtId="0" fontId="92" fillId="0" borderId="2" xfId="16" applyFont="1" applyAlignment="1">
      <alignment horizontal="center" vertical="center"/>
    </xf>
  </cellXfs>
  <cellStyles count="23">
    <cellStyle name="20 % - Akzent1" xfId="2" builtinId="30"/>
    <cellStyle name="Currency 2" xfId="7" xr:uid="{3A64E5CF-401E-4A51-AFC2-6905938646B6}"/>
    <cellStyle name="Gut" xfId="1" builtinId="26"/>
    <cellStyle name="Komma" xfId="6" builtinId="3"/>
    <cellStyle name="Komma 2" xfId="8" xr:uid="{F72F0FDB-BA9B-4527-BF1F-9BEF72A85FF7}"/>
    <cellStyle name="Komma 2 2" xfId="13" xr:uid="{CF6923A7-01D3-44C6-AE79-73E47E861351}"/>
    <cellStyle name="Komma 3" xfId="11" xr:uid="{1006AD80-B76B-4F51-9F1F-4891D7E0D53D}"/>
    <cellStyle name="Kopf einzelne" xfId="19" xr:uid="{A2E0A89F-577C-44E6-BB36-8E2F60C1142D}"/>
    <cellStyle name="Kopf erste" xfId="15" xr:uid="{0FA901B4-1AF8-4C23-8BC9-D874EAF4D4E8}"/>
    <cellStyle name="Kopf letzte" xfId="17" xr:uid="{DC4B9C2D-A346-405A-A2C6-54B2B587193C}"/>
    <cellStyle name="Kopf mittlere" xfId="16" xr:uid="{08422067-DD42-4D32-8DFD-AB3F2EA5B28C}"/>
    <cellStyle name="Link" xfId="3" builtinId="8"/>
    <cellStyle name="Normal 2" xfId="22" xr:uid="{D49AE5DF-A22F-45A9-9035-B50B5AFB8BEA}"/>
    <cellStyle name="Prozent" xfId="5" builtinId="5"/>
    <cellStyle name="Standard" xfId="0" builtinId="0"/>
    <cellStyle name="Standard 2" xfId="4" xr:uid="{B16B6E52-0078-4524-8DB5-176B79701DBA}"/>
    <cellStyle name="Standard 2 2" xfId="12" xr:uid="{52C01172-8AB9-40DE-BA7D-EEE0AF632EEA}"/>
    <cellStyle name="Standard 3" xfId="9" xr:uid="{F65DC36F-6026-4818-BF10-2B967E45FF35}"/>
    <cellStyle name="Standard 4" xfId="10" xr:uid="{56C5C8BB-E69E-4845-BB54-5685DFB2073F}"/>
    <cellStyle name="Standard 5" xfId="14" xr:uid="{59C8634E-88B4-4FD9-9AAE-8919B60BD829}"/>
    <cellStyle name="Summe" xfId="20" xr:uid="{8B040B05-3266-42F3-8DCB-CAFAF7457F5A}"/>
    <cellStyle name="Titel" xfId="21" xr:uid="{974F52B2-AE93-482B-B21F-B84A0B24C857}"/>
    <cellStyle name="Zwischensumme" xfId="18" xr:uid="{06D9B56B-30F6-44A8-ADD0-AFA7F7CFF38A}"/>
  </cellStyles>
  <dxfs count="0"/>
  <tableStyles count="0" defaultTableStyle="TableStyleMedium2" defaultPivotStyle="PivotStyleLight16"/>
  <colors>
    <mruColors>
      <color rgb="FFD50D20"/>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charts/_rels/chartEx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_xlchart.v1.0</cx:f>
      </cx:strDim>
      <cx:numDim type="val">
        <cx:f>_xlchart.v1.1</cx:f>
      </cx:numDim>
    </cx:data>
  </cx:chartData>
  <cx:chart>
    <cx:title pos="t" align="ctr" overlay="0">
      <cx:tx>
        <cx:txData>
          <cx:v>Transitional Climate Risks 2024</cx:v>
        </cx:txData>
      </cx:tx>
      <cx:txPr>
        <a:bodyPr spcFirstLastPara="1" vertOverflow="ellipsis" horzOverflow="overflow" wrap="square" lIns="0" tIns="0" rIns="0" bIns="0" anchor="ctr" anchorCtr="1"/>
        <a:lstStyle/>
        <a:p>
          <a:pPr algn="ctr" rtl="0">
            <a:defRPr sz="1200" b="1">
              <a:latin typeface="Neutrif Pro" panose="00000500000000000000" pitchFamily="50" charset="0"/>
              <a:ea typeface="Neutrif Pro" panose="00000500000000000000" pitchFamily="50" charset="0"/>
              <a:cs typeface="Neutrif Pro" panose="00000500000000000000" pitchFamily="50" charset="0"/>
            </a:defRPr>
          </a:pPr>
          <a:r>
            <a:rPr lang="de-DE" sz="1200" b="1" i="0" u="none" strike="noStrike" baseline="0">
              <a:solidFill>
                <a:sysClr val="windowText" lastClr="000000">
                  <a:lumMod val="65000"/>
                  <a:lumOff val="35000"/>
                </a:sysClr>
              </a:solidFill>
              <a:latin typeface="Neutrif Pro" panose="00000500000000000000" pitchFamily="50" charset="0"/>
            </a:rPr>
            <a:t>Transitional Climate Risks 2024</a:t>
          </a:r>
        </a:p>
      </cx:txPr>
    </cx:title>
    <cx:plotArea>
      <cx:plotAreaRegion>
        <cx:plotSurface>
          <cx:spPr>
            <a:noFill/>
            <a:ln>
              <a:noFill/>
            </a:ln>
          </cx:spPr>
        </cx:plotSurface>
        <cx:series layoutId="waterfall" uniqueId="{132CCD60-B230-4C0C-AD21-F6CFE37AF456}">
          <cx:spPr>
            <a:solidFill>
              <a:schemeClr val="accent1">
                <a:lumMod val="50000"/>
              </a:schemeClr>
            </a:solidFill>
          </cx:spPr>
          <cx:dataPt idx="1">
            <cx:spPr>
              <a:solidFill>
                <a:srgbClr val="CC0000"/>
              </a:solidFill>
            </cx:spPr>
          </cx:dataPt>
          <cx:dataPt idx="2">
            <cx:spPr>
              <a:solidFill>
                <a:srgbClr val="CC0000"/>
              </a:solidFill>
            </cx:spPr>
          </cx:dataPt>
          <cx:dataLabels pos="outEnd">
            <cx:txPr>
              <a:bodyPr vertOverflow="overflow" horzOverflow="overflow" wrap="square" lIns="0" tIns="0" rIns="0" bIns="0"/>
              <a:lstStyle/>
              <a:p>
                <a:pPr algn="ctr" rtl="0">
                  <a:defRPr sz="700" b="0" i="0">
                    <a:solidFill>
                      <a:srgbClr val="595959"/>
                    </a:solidFill>
                    <a:latin typeface="Neutrif Pro" panose="00000500000000000000" pitchFamily="50" charset="0"/>
                    <a:ea typeface="Neutrif Pro" panose="00000500000000000000" pitchFamily="50" charset="0"/>
                    <a:cs typeface="Neutrif Pro" panose="00000500000000000000" pitchFamily="50" charset="0"/>
                  </a:defRPr>
                </a:pPr>
                <a:endParaRPr lang="de-DE" sz="700">
                  <a:latin typeface="Neutrif Pro" panose="00000500000000000000" pitchFamily="50" charset="0"/>
                </a:endParaRPr>
              </a:p>
            </cx:txPr>
            <cx:visibility seriesName="0" categoryName="0" value="1"/>
            <cx:separator>, </cx:separator>
            <cx:dataLabelHidden idx="0"/>
            <cx:dataLabelHidden idx="6"/>
          </cx:dataLabels>
          <cx:dataId val="0"/>
          <cx:layoutPr>
            <cx:visibility connectorLines="0"/>
            <cx:subtotals>
              <cx:idx val="6"/>
            </cx:subtotals>
          </cx:layoutPr>
        </cx:series>
      </cx:plotAreaRegion>
      <cx:axis id="0">
        <cx:catScaling gapWidth="0.49000001"/>
        <cx:tickLabels/>
        <cx:spPr>
          <a:ln>
            <a:noFill/>
          </a:ln>
        </cx:spPr>
        <cx:txPr>
          <a:bodyPr vertOverflow="overflow" horzOverflow="overflow" wrap="square" lIns="0" tIns="0" rIns="0" bIns="0"/>
          <a:lstStyle/>
          <a:p>
            <a:pPr algn="ctr" rtl="0">
              <a:defRPr sz="600" b="0" i="0">
                <a:solidFill>
                  <a:srgbClr val="595959"/>
                </a:solidFill>
                <a:latin typeface="Neutrif Pro" panose="00000500000000000000" pitchFamily="50" charset="0"/>
                <a:ea typeface="Neutrif Pro" panose="00000500000000000000" pitchFamily="50" charset="0"/>
                <a:cs typeface="Neutrif Pro" panose="00000500000000000000" pitchFamily="50" charset="0"/>
              </a:defRPr>
            </a:pPr>
            <a:endParaRPr lang="de-DE" sz="600">
              <a:latin typeface="Neutrif Pro" panose="00000500000000000000" pitchFamily="50" charset="0"/>
            </a:endParaRPr>
          </a:p>
        </cx:txPr>
      </cx:axis>
      <cx:axis id="1" hidden="1">
        <cx:valScaling/>
        <cx:tickLabels/>
        <cx:txPr>
          <a:bodyPr spcFirstLastPara="1" vertOverflow="ellipsis" horzOverflow="overflow" wrap="square" lIns="0" tIns="0" rIns="0" bIns="0" anchor="ctr" anchorCtr="1"/>
          <a:lstStyle/>
          <a:p>
            <a:pPr algn="ctr" rtl="0">
              <a:defRPr>
                <a:noFill/>
                <a:latin typeface="Neutrif Pro" panose="00000500000000000000" pitchFamily="50" charset="0"/>
                <a:ea typeface="Neutrif Pro" panose="00000500000000000000" pitchFamily="50" charset="0"/>
                <a:cs typeface="Neutrif Pro" panose="00000500000000000000" pitchFamily="50" charset="0"/>
              </a:defRPr>
            </a:pPr>
            <a:endParaRPr lang="de-DE" sz="900" b="0" i="0" u="none" strike="noStrike" baseline="0">
              <a:noFill/>
              <a:latin typeface="Neutrif Pro" panose="00000500000000000000" pitchFamily="50" charset="0"/>
            </a:endParaRPr>
          </a:p>
        </cx:txPr>
      </cx:axis>
    </cx:plotArea>
  </cx:chart>
</cx:chartSpace>
</file>

<file path=xl/charts/chartEx2.xml><?xml version="1.0" encoding="utf-8"?>
<cx:chartSpace xmlns:a="http://schemas.openxmlformats.org/drawingml/2006/main" xmlns:r="http://schemas.openxmlformats.org/officeDocument/2006/relationships" xmlns:cx="http://schemas.microsoft.com/office/drawing/2014/chartex">
  <cx:chartData>
    <cx:data id="0">
      <cx:strDim type="cat">
        <cx:f>_xlchart.v1.2</cx:f>
      </cx:strDim>
      <cx:numDim type="val">
        <cx:f>_xlchart.v1.3</cx:f>
      </cx:numDim>
    </cx:data>
  </cx:chartData>
  <cx:chart>
    <cx:title pos="t" align="ctr" overlay="0">
      <cx:tx>
        <cx:rich>
          <a:bodyPr spcFirstLastPara="1" vertOverflow="ellipsis" horzOverflow="overflow" wrap="square" lIns="0" tIns="0" rIns="0" bIns="0" anchor="ctr" anchorCtr="1"/>
          <a:lstStyle/>
          <a:p>
            <a:pPr algn="ctr" rtl="0">
              <a:defRPr sz="1200" b="1">
                <a:latin typeface="Neutrif Pro" panose="00000500000000000000" pitchFamily="50" charset="0"/>
                <a:ea typeface="Neutrif Pro" panose="00000500000000000000" pitchFamily="50" charset="0"/>
                <a:cs typeface="Neutrif Pro" panose="00000500000000000000" pitchFamily="50" charset="0"/>
              </a:defRPr>
            </a:pPr>
            <a:r>
              <a:rPr lang="de-DE" sz="1200" b="1" i="0" u="none" strike="noStrike" baseline="0">
                <a:solidFill>
                  <a:sysClr val="windowText" lastClr="000000">
                    <a:lumMod val="65000"/>
                    <a:lumOff val="35000"/>
                  </a:sysClr>
                </a:solidFill>
                <a:latin typeface="Neutrif Pro" panose="00000500000000000000" pitchFamily="50" charset="0"/>
              </a:rPr>
              <a:t>Transitional Climate Risks 2023</a:t>
            </a:r>
          </a:p>
          <a:p>
            <a:pPr algn="ctr" rtl="0">
              <a:defRPr sz="1200" b="1">
                <a:latin typeface="Neutrif Pro" panose="00000500000000000000" pitchFamily="50" charset="0"/>
                <a:ea typeface="Neutrif Pro" panose="00000500000000000000" pitchFamily="50" charset="0"/>
                <a:cs typeface="Neutrif Pro" panose="00000500000000000000" pitchFamily="50" charset="0"/>
              </a:defRPr>
            </a:pPr>
            <a:endParaRPr lang="de-DE" sz="1200" b="1" i="0" u="none" strike="noStrike" baseline="0">
              <a:solidFill>
                <a:sysClr val="windowText" lastClr="000000">
                  <a:lumMod val="65000"/>
                  <a:lumOff val="35000"/>
                </a:sysClr>
              </a:solidFill>
              <a:latin typeface="Neutrif Pro" panose="00000500000000000000" pitchFamily="50" charset="0"/>
            </a:endParaRPr>
          </a:p>
        </cx:rich>
      </cx:tx>
    </cx:title>
    <cx:plotArea>
      <cx:plotAreaRegion>
        <cx:plotSurface>
          <cx:spPr>
            <a:noFill/>
            <a:ln>
              <a:noFill/>
            </a:ln>
          </cx:spPr>
        </cx:plotSurface>
        <cx:series layoutId="waterfall" uniqueId="{132CCD60-B230-4C0C-AD21-F6CFE37AF456}">
          <cx:spPr>
            <a:solidFill>
              <a:schemeClr val="accent1">
                <a:lumMod val="50000"/>
              </a:schemeClr>
            </a:solidFill>
          </cx:spPr>
          <cx:dataPt idx="1">
            <cx:spPr>
              <a:solidFill>
                <a:srgbClr val="CC0000"/>
              </a:solidFill>
            </cx:spPr>
          </cx:dataPt>
          <cx:dataPt idx="2">
            <cx:spPr>
              <a:solidFill>
                <a:srgbClr val="CC0000"/>
              </a:solidFill>
            </cx:spPr>
          </cx:dataPt>
          <cx:dataLabels pos="outEnd">
            <cx:txPr>
              <a:bodyPr vertOverflow="overflow" horzOverflow="overflow" wrap="square" lIns="0" tIns="0" rIns="0" bIns="0"/>
              <a:lstStyle/>
              <a:p>
                <a:pPr algn="ctr" rtl="0">
                  <a:defRPr sz="700" b="0" i="0">
                    <a:solidFill>
                      <a:srgbClr val="595959"/>
                    </a:solidFill>
                    <a:latin typeface="Neutrif Pro" panose="00000500000000000000" pitchFamily="50" charset="0"/>
                    <a:ea typeface="Neutrif Pro" panose="00000500000000000000" pitchFamily="50" charset="0"/>
                    <a:cs typeface="Neutrif Pro" panose="00000500000000000000" pitchFamily="50" charset="0"/>
                  </a:defRPr>
                </a:pPr>
                <a:endParaRPr lang="de-DE" sz="700">
                  <a:latin typeface="Neutrif Pro" panose="00000500000000000000" pitchFamily="50" charset="0"/>
                </a:endParaRPr>
              </a:p>
            </cx:txPr>
            <cx:visibility seriesName="0" categoryName="0" value="1"/>
            <cx:separator>, </cx:separator>
            <cx:dataLabelHidden idx="0"/>
            <cx:dataLabelHidden idx="6"/>
          </cx:dataLabels>
          <cx:dataId val="0"/>
          <cx:layoutPr>
            <cx:visibility connectorLines="0"/>
            <cx:subtotals>
              <cx:idx val="6"/>
            </cx:subtotals>
          </cx:layoutPr>
        </cx:series>
      </cx:plotAreaRegion>
      <cx:axis id="0">
        <cx:catScaling gapWidth="0.49000001"/>
        <cx:tickLabels/>
        <cx:spPr>
          <a:ln>
            <a:noFill/>
          </a:ln>
        </cx:spPr>
        <cx:txPr>
          <a:bodyPr vertOverflow="overflow" horzOverflow="overflow" wrap="square" lIns="0" tIns="0" rIns="0" bIns="0"/>
          <a:lstStyle/>
          <a:p>
            <a:pPr algn="ctr" rtl="0">
              <a:defRPr sz="600" b="0" i="0">
                <a:solidFill>
                  <a:srgbClr val="595959"/>
                </a:solidFill>
                <a:latin typeface="Neutrif Pro" panose="00000500000000000000" pitchFamily="50" charset="0"/>
                <a:ea typeface="Neutrif Pro" panose="00000500000000000000" pitchFamily="50" charset="0"/>
                <a:cs typeface="Neutrif Pro" panose="00000500000000000000" pitchFamily="50" charset="0"/>
              </a:defRPr>
            </a:pPr>
            <a:endParaRPr lang="de-DE" sz="600">
              <a:latin typeface="Neutrif Pro" panose="00000500000000000000" pitchFamily="50" charset="0"/>
            </a:endParaRPr>
          </a:p>
        </cx:txPr>
      </cx:axis>
      <cx:axis id="1" hidden="1">
        <cx:valScaling/>
        <cx:tickLabels/>
        <cx:txPr>
          <a:bodyPr spcFirstLastPara="1" vertOverflow="ellipsis" horzOverflow="overflow" wrap="square" lIns="0" tIns="0" rIns="0" bIns="0" anchor="ctr" anchorCtr="1"/>
          <a:lstStyle/>
          <a:p>
            <a:pPr algn="ctr" rtl="0">
              <a:defRPr>
                <a:noFill/>
                <a:latin typeface="Neutrif Pro" panose="00000500000000000000" pitchFamily="50" charset="0"/>
                <a:ea typeface="Neutrif Pro" panose="00000500000000000000" pitchFamily="50" charset="0"/>
                <a:cs typeface="Neutrif Pro" panose="00000500000000000000" pitchFamily="50" charset="0"/>
              </a:defRPr>
            </a:pPr>
            <a:endParaRPr lang="de-DE" sz="900" b="0" i="0" u="none" strike="noStrike" baseline="0">
              <a:noFill/>
              <a:latin typeface="Neutrif Pro" panose="00000500000000000000" pitchFamily="50" charset="0"/>
            </a:endParaRPr>
          </a:p>
        </cx:txPr>
      </cx:axis>
    </cx:plotArea>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95">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8.xml.rels><?xml version="1.0" encoding="UTF-8" standalone="yes"?>
<Relationships xmlns="http://schemas.openxmlformats.org/package/2006/relationships"><Relationship Id="rId2" Type="http://schemas.microsoft.com/office/2014/relationships/chartEx" Target="../charts/chartEx2.xml"/><Relationship Id="rId1" Type="http://schemas.microsoft.com/office/2014/relationships/chartEx" Target="../charts/chartEx1.xml"/></Relationships>
</file>

<file path=xl/drawings/_rels/drawing19.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5.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5.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184812</xdr:colOff>
      <xdr:row>8</xdr:row>
      <xdr:rowOff>457795</xdr:rowOff>
    </xdr:from>
    <xdr:to>
      <xdr:col>13</xdr:col>
      <xdr:colOff>365716</xdr:colOff>
      <xdr:row>31</xdr:row>
      <xdr:rowOff>113008</xdr:rowOff>
    </xdr:to>
    <xdr:pic>
      <xdr:nvPicPr>
        <xdr:cNvPr id="6" name="Grafik 5">
          <a:extLst>
            <a:ext uri="{FF2B5EF4-FFF2-40B4-BE49-F238E27FC236}">
              <a16:creationId xmlns:a16="http://schemas.microsoft.com/office/drawing/2014/main" id="{ECC227B1-5AA2-B00D-B983-36D2EE0ED6F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4812" y="2163765"/>
          <a:ext cx="7758255" cy="4360847"/>
        </a:xfrm>
        <a:prstGeom prst="rect">
          <a:avLst/>
        </a:prstGeom>
        <a:effectLst>
          <a:glow rad="101600">
            <a:schemeClr val="accent3">
              <a:satMod val="175000"/>
              <a:alpha val="40000"/>
            </a:schemeClr>
          </a:glow>
        </a:effec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1740EFB1-A226-45F3-BD31-747A3FADB932}"/>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X8A0T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1">
          <a:extLst>
            <a:ext uri="{FF2B5EF4-FFF2-40B4-BE49-F238E27FC236}">
              <a16:creationId xmlns:a16="http://schemas.microsoft.com/office/drawing/2014/main" id="{C278EEAB-7EE6-4385-AE16-2698521A574E}"/>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X14A0T</a:t>
          </a:r>
          <a:endParaRPr lang="en-AT" sz="100">
            <a:latin typeface="ZWAdobeF" pitchFamily="2"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3175</xdr:colOff>
      <xdr:row>1</xdr:row>
      <xdr:rowOff>3175</xdr:rowOff>
    </xdr:from>
    <xdr:to>
      <xdr:col>0</xdr:col>
      <xdr:colOff>66675</xdr:colOff>
      <xdr:row>1</xdr:row>
      <xdr:rowOff>105767</xdr:rowOff>
    </xdr:to>
    <xdr:sp macro="" textlink="">
      <xdr:nvSpPr>
        <xdr:cNvPr id="2" name="TextBox 1">
          <a:extLst>
            <a:ext uri="{FF2B5EF4-FFF2-40B4-BE49-F238E27FC236}">
              <a16:creationId xmlns:a16="http://schemas.microsoft.com/office/drawing/2014/main" id="{3B3236A9-3C6C-4CA2-B591-EBB4140A0743}"/>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X12A0T</a:t>
          </a:r>
          <a:endParaRPr lang="en-AT" sz="100">
            <a:latin typeface="ZWAdobeF" pitchFamily="2" charset="0"/>
          </a:endParaRPr>
        </a:p>
      </xdr:txBody>
    </xdr:sp>
    <xdr:clientData/>
  </xdr:twoCellAnchor>
  <xdr:twoCellAnchor>
    <xdr:from>
      <xdr:col>0</xdr:col>
      <xdr:colOff>3175</xdr:colOff>
      <xdr:row>1</xdr:row>
      <xdr:rowOff>3175</xdr:rowOff>
    </xdr:from>
    <xdr:to>
      <xdr:col>0</xdr:col>
      <xdr:colOff>66675</xdr:colOff>
      <xdr:row>1</xdr:row>
      <xdr:rowOff>105767</xdr:rowOff>
    </xdr:to>
    <xdr:sp macro="" textlink="">
      <xdr:nvSpPr>
        <xdr:cNvPr id="3" name="TextBox 1">
          <a:extLst>
            <a:ext uri="{FF2B5EF4-FFF2-40B4-BE49-F238E27FC236}">
              <a16:creationId xmlns:a16="http://schemas.microsoft.com/office/drawing/2014/main" id="{CFF2CC44-C3B8-47A3-82E2-DFEA48F55A0E}"/>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X12A0T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1">
          <a:extLst>
            <a:ext uri="{FF2B5EF4-FFF2-40B4-BE49-F238E27FC236}">
              <a16:creationId xmlns:a16="http://schemas.microsoft.com/office/drawing/2014/main" id="{14E9BF41-A0E2-4EC7-A417-9DF112A299C2}"/>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X8A0T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1">
          <a:extLst>
            <a:ext uri="{FF2B5EF4-FFF2-40B4-BE49-F238E27FC236}">
              <a16:creationId xmlns:a16="http://schemas.microsoft.com/office/drawing/2014/main" id="{C2ED9DC1-0EE2-45DC-924F-AE4FAF3B33B1}"/>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X14A0T</a:t>
          </a:r>
          <a:endParaRPr lang="en-AT" sz="100">
            <a:latin typeface="ZWAdobeF" pitchFamily="2"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998750F6-7C2E-4799-B8BE-3CE65A6E9365}"/>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X8A0T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1">
          <a:extLst>
            <a:ext uri="{FF2B5EF4-FFF2-40B4-BE49-F238E27FC236}">
              <a16:creationId xmlns:a16="http://schemas.microsoft.com/office/drawing/2014/main" id="{E6621EF3-1B99-4477-A99D-82EAB1E7CBC9}"/>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X14A0T</a:t>
          </a:r>
          <a:endParaRPr lang="en-AT" sz="100">
            <a:latin typeface="ZWAdobeF" pitchFamily="2"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2918B3E-18BA-4489-ABF4-9AEA81E5846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X16A0T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1">
          <a:extLst>
            <a:ext uri="{FF2B5EF4-FFF2-40B4-BE49-F238E27FC236}">
              <a16:creationId xmlns:a16="http://schemas.microsoft.com/office/drawing/2014/main" id="{FC482ABA-EB0A-4B60-A56B-5C75A6787471}"/>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X12A0T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1">
          <a:extLst>
            <a:ext uri="{FF2B5EF4-FFF2-40B4-BE49-F238E27FC236}">
              <a16:creationId xmlns:a16="http://schemas.microsoft.com/office/drawing/2014/main" id="{075EE41B-1F21-44E5-BBB5-EED3C86E0EB9}"/>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X12A0T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1">
          <a:extLst>
            <a:ext uri="{FF2B5EF4-FFF2-40B4-BE49-F238E27FC236}">
              <a16:creationId xmlns:a16="http://schemas.microsoft.com/office/drawing/2014/main" id="{549BFA71-EA0B-43D9-8D2A-5C965958A374}"/>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X12A0T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1">
          <a:extLst>
            <a:ext uri="{FF2B5EF4-FFF2-40B4-BE49-F238E27FC236}">
              <a16:creationId xmlns:a16="http://schemas.microsoft.com/office/drawing/2014/main" id="{4C5095EF-84F4-42B7-8314-79AD2C3FFF44}"/>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X8A0T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1">
          <a:extLst>
            <a:ext uri="{FF2B5EF4-FFF2-40B4-BE49-F238E27FC236}">
              <a16:creationId xmlns:a16="http://schemas.microsoft.com/office/drawing/2014/main" id="{6422577C-BA48-445D-851D-A170718C181A}"/>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X14A0T</a:t>
          </a:r>
          <a:endParaRPr lang="en-AT" sz="100">
            <a:latin typeface="ZWAdobeF" pitchFamily="2"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2AD9A3E-2A1D-AE01-5504-C4CE9286241D}"/>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X13A0T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1">
          <a:extLst>
            <a:ext uri="{FF2B5EF4-FFF2-40B4-BE49-F238E27FC236}">
              <a16:creationId xmlns:a16="http://schemas.microsoft.com/office/drawing/2014/main" id="{FCA37725-C228-4D51-B041-9C057F18AB81}"/>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X12A0T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1">
          <a:extLst>
            <a:ext uri="{FF2B5EF4-FFF2-40B4-BE49-F238E27FC236}">
              <a16:creationId xmlns:a16="http://schemas.microsoft.com/office/drawing/2014/main" id="{61CFDB78-D751-4FD6-AA2B-495B46848343}"/>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X12A0T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1">
          <a:extLst>
            <a:ext uri="{FF2B5EF4-FFF2-40B4-BE49-F238E27FC236}">
              <a16:creationId xmlns:a16="http://schemas.microsoft.com/office/drawing/2014/main" id="{D051AA0C-E5E9-4515-8D4B-17C6BCB7FE9D}"/>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X12A0T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1">
          <a:extLst>
            <a:ext uri="{FF2B5EF4-FFF2-40B4-BE49-F238E27FC236}">
              <a16:creationId xmlns:a16="http://schemas.microsoft.com/office/drawing/2014/main" id="{0FB524AD-237A-4E66-AF9B-433B5973868B}"/>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X8A0T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1">
          <a:extLst>
            <a:ext uri="{FF2B5EF4-FFF2-40B4-BE49-F238E27FC236}">
              <a16:creationId xmlns:a16="http://schemas.microsoft.com/office/drawing/2014/main" id="{A4FE05ED-5760-4D0D-8D45-4DD528DCC392}"/>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X14A0T</a:t>
          </a:r>
          <a:endParaRPr lang="en-AT" sz="100">
            <a:latin typeface="ZWAdobeF" pitchFamily="2" charset="0"/>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1</xdr:col>
      <xdr:colOff>317334</xdr:colOff>
      <xdr:row>3</xdr:row>
      <xdr:rowOff>165601</xdr:rowOff>
    </xdr:from>
    <xdr:ext cx="6043189" cy="3015195"/>
    <xdr:pic>
      <xdr:nvPicPr>
        <xdr:cNvPr id="2" name="Picture 2">
          <a:extLst>
            <a:ext uri="{FF2B5EF4-FFF2-40B4-BE49-F238E27FC236}">
              <a16:creationId xmlns:a16="http://schemas.microsoft.com/office/drawing/2014/main" id="{07DA10F5-589A-4D5A-B4AD-34C859EDC199}"/>
            </a:ext>
          </a:extLst>
        </xdr:cNvPr>
        <xdr:cNvPicPr>
          <a:picLocks noChangeAspect="1"/>
        </xdr:cNvPicPr>
      </xdr:nvPicPr>
      <xdr:blipFill>
        <a:blip xmlns:r="http://schemas.openxmlformats.org/officeDocument/2006/relationships" r:embed="rId1"/>
        <a:stretch>
          <a:fillRect/>
        </a:stretch>
      </xdr:blipFill>
      <xdr:spPr>
        <a:xfrm>
          <a:off x="1111719" y="531361"/>
          <a:ext cx="6043189" cy="3015195"/>
        </a:xfrm>
        <a:prstGeom prst="rect">
          <a:avLst/>
        </a:prstGeom>
      </xdr:spPr>
    </xdr:pic>
    <xdr:clientData/>
  </xdr:oneCellAnchor>
  <xdr:twoCellAnchor>
    <xdr:from>
      <xdr:col>0</xdr:col>
      <xdr:colOff>3175</xdr:colOff>
      <xdr:row>0</xdr:row>
      <xdr:rowOff>3175</xdr:rowOff>
    </xdr:from>
    <xdr:to>
      <xdr:col>0</xdr:col>
      <xdr:colOff>66675</xdr:colOff>
      <xdr:row>0</xdr:row>
      <xdr:rowOff>105767</xdr:rowOff>
    </xdr:to>
    <xdr:sp macro="" textlink="">
      <xdr:nvSpPr>
        <xdr:cNvPr id="3" name="TextBox 1">
          <a:extLst>
            <a:ext uri="{FF2B5EF4-FFF2-40B4-BE49-F238E27FC236}">
              <a16:creationId xmlns:a16="http://schemas.microsoft.com/office/drawing/2014/main" id="{868B200A-4197-496F-AA38-4AF785F636D3}"/>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X13A0T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1">
          <a:extLst>
            <a:ext uri="{FF2B5EF4-FFF2-40B4-BE49-F238E27FC236}">
              <a16:creationId xmlns:a16="http://schemas.microsoft.com/office/drawing/2014/main" id="{8FED67EF-A2B8-4AC1-9BF5-A541C0611F04}"/>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X12A0T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1">
          <a:extLst>
            <a:ext uri="{FF2B5EF4-FFF2-40B4-BE49-F238E27FC236}">
              <a16:creationId xmlns:a16="http://schemas.microsoft.com/office/drawing/2014/main" id="{67F5FFF4-0DEC-473B-94AA-4550E25A22BC}"/>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X12A0T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1">
          <a:extLst>
            <a:ext uri="{FF2B5EF4-FFF2-40B4-BE49-F238E27FC236}">
              <a16:creationId xmlns:a16="http://schemas.microsoft.com/office/drawing/2014/main" id="{9942BDEC-0986-420D-A1B4-6E68F2778496}"/>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X12A0T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1">
          <a:extLst>
            <a:ext uri="{FF2B5EF4-FFF2-40B4-BE49-F238E27FC236}">
              <a16:creationId xmlns:a16="http://schemas.microsoft.com/office/drawing/2014/main" id="{DE25C2F9-C1A6-45FA-B516-20AF8471C8CE}"/>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X8A0T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8" name="TextBox 1">
          <a:extLst>
            <a:ext uri="{FF2B5EF4-FFF2-40B4-BE49-F238E27FC236}">
              <a16:creationId xmlns:a16="http://schemas.microsoft.com/office/drawing/2014/main" id="{E2A1C13E-F2A1-4536-B67C-984B77CD914D}"/>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X14A0T</a:t>
          </a:r>
          <a:endParaRPr lang="en-AT" sz="100">
            <a:latin typeface="ZWAdobeF" pitchFamily="2"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3" name="TextBox 1">
          <a:extLst>
            <a:ext uri="{FF2B5EF4-FFF2-40B4-BE49-F238E27FC236}">
              <a16:creationId xmlns:a16="http://schemas.microsoft.com/office/drawing/2014/main" id="{9B15D5D7-C2DC-42C2-A39B-3ED5C0A842F4}"/>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X13A0T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1">
          <a:extLst>
            <a:ext uri="{FF2B5EF4-FFF2-40B4-BE49-F238E27FC236}">
              <a16:creationId xmlns:a16="http://schemas.microsoft.com/office/drawing/2014/main" id="{15AC6EC7-ADE0-4AF0-8C6C-DBAF188E7E51}"/>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X12A0T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1">
          <a:extLst>
            <a:ext uri="{FF2B5EF4-FFF2-40B4-BE49-F238E27FC236}">
              <a16:creationId xmlns:a16="http://schemas.microsoft.com/office/drawing/2014/main" id="{F09790E6-2D76-44E4-A823-3ECCF3DE70AB}"/>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X12A0T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1">
          <a:extLst>
            <a:ext uri="{FF2B5EF4-FFF2-40B4-BE49-F238E27FC236}">
              <a16:creationId xmlns:a16="http://schemas.microsoft.com/office/drawing/2014/main" id="{A1816592-C3FE-4665-ACDB-F1C8006AFD23}"/>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X12A0T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1">
          <a:extLst>
            <a:ext uri="{FF2B5EF4-FFF2-40B4-BE49-F238E27FC236}">
              <a16:creationId xmlns:a16="http://schemas.microsoft.com/office/drawing/2014/main" id="{80AE0296-BD67-446B-A606-E67B7D545A10}"/>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X8A0T</a:t>
          </a:r>
          <a:endParaRPr lang="en-AT" sz="100">
            <a:latin typeface="ZWAdobeF" pitchFamily="2"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E6BDD2C-2C43-8DB0-C42E-66AC096AE700}"/>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X15A0T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1">
          <a:extLst>
            <a:ext uri="{FF2B5EF4-FFF2-40B4-BE49-F238E27FC236}">
              <a16:creationId xmlns:a16="http://schemas.microsoft.com/office/drawing/2014/main" id="{053CF2B7-07BC-465A-ABB4-4987B89E8D00}"/>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X12A0T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1">
          <a:extLst>
            <a:ext uri="{FF2B5EF4-FFF2-40B4-BE49-F238E27FC236}">
              <a16:creationId xmlns:a16="http://schemas.microsoft.com/office/drawing/2014/main" id="{6143CF76-AC66-4DA5-BD66-350A5E4A13B3}"/>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X12A0T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1">
          <a:extLst>
            <a:ext uri="{FF2B5EF4-FFF2-40B4-BE49-F238E27FC236}">
              <a16:creationId xmlns:a16="http://schemas.microsoft.com/office/drawing/2014/main" id="{80733732-C2BD-4144-BC1C-E7A250A6BB9F}"/>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X12A0T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1">
          <a:extLst>
            <a:ext uri="{FF2B5EF4-FFF2-40B4-BE49-F238E27FC236}">
              <a16:creationId xmlns:a16="http://schemas.microsoft.com/office/drawing/2014/main" id="{1F4346F9-F960-4D2C-844A-BC8F6E62CB7C}"/>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X8A0T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1">
          <a:extLst>
            <a:ext uri="{FF2B5EF4-FFF2-40B4-BE49-F238E27FC236}">
              <a16:creationId xmlns:a16="http://schemas.microsoft.com/office/drawing/2014/main" id="{0D410DD2-3850-47E2-8D1F-B35B6BDFD3D1}"/>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X14A0T</a:t>
          </a:r>
          <a:endParaRPr lang="en-AT" sz="100">
            <a:latin typeface="ZWAdobeF" pitchFamily="2"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7243</xdr:colOff>
      <xdr:row>1</xdr:row>
      <xdr:rowOff>473</xdr:rowOff>
    </xdr:from>
    <xdr:to>
      <xdr:col>17</xdr:col>
      <xdr:colOff>49167</xdr:colOff>
      <xdr:row>15</xdr:row>
      <xdr:rowOff>29350</xdr:rowOff>
    </xdr:to>
    <mc:AlternateContent xmlns:mc="http://schemas.openxmlformats.org/markup-compatibility/2006">
      <mc:Choice xmlns:cx1="http://schemas.microsoft.com/office/drawing/2015/9/8/chartex" Requires="cx1">
        <xdr:graphicFrame macro="">
          <xdr:nvGraphicFramePr>
            <xdr:cNvPr id="3" name="Diagramm 2">
              <a:extLst>
                <a:ext uri="{FF2B5EF4-FFF2-40B4-BE49-F238E27FC236}">
                  <a16:creationId xmlns:a16="http://schemas.microsoft.com/office/drawing/2014/main" id="{5AD5600F-82E2-28F4-1A69-5EFBC01F8FD1}"/>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1"/>
            </a:graphicData>
          </a:graphic>
        </xdr:graphicFrame>
      </mc:Choice>
      <mc:Fallback>
        <xdr:sp macro="" textlink="">
          <xdr:nvSpPr>
            <xdr:cNvPr id="0" name=""/>
            <xdr:cNvSpPr>
              <a:spLocks noTextEdit="1"/>
            </xdr:cNvSpPr>
          </xdr:nvSpPr>
          <xdr:spPr>
            <a:xfrm>
              <a:off x="4632583" y="183353"/>
              <a:ext cx="6747524" cy="3320717"/>
            </a:xfrm>
            <a:prstGeom prst="rect">
              <a:avLst/>
            </a:prstGeom>
            <a:solidFill>
              <a:prstClr val="white"/>
            </a:solidFill>
            <a:ln w="1">
              <a:solidFill>
                <a:prstClr val="green"/>
              </a:solidFill>
            </a:ln>
          </xdr:spPr>
          <xdr:txBody>
            <a:bodyPr vertOverflow="clip" horzOverflow="clip"/>
            <a:lstStyle/>
            <a:p>
              <a:r>
                <a:rPr lang="de-DE" sz="1100"/>
                <a:t>Dieses Diagramm ist in Ihrer Version von Excel nicht verfügbar.
Wenn Sie diese Form bearbeiten oder diese Arbeitsmappe in einem anderen Dateiformat speichern, wird das Diagramm dauerhaft beschädigt.</a:t>
              </a:r>
            </a:p>
          </xdr:txBody>
        </xdr:sp>
      </mc:Fallback>
    </mc:AlternateContent>
    <xdr:clientData/>
  </xdr:twoCellAnchor>
  <xdr:twoCellAnchor>
    <xdr:from>
      <xdr:col>6</xdr:col>
      <xdr:colOff>0</xdr:colOff>
      <xdr:row>18</xdr:row>
      <xdr:rowOff>0</xdr:rowOff>
    </xdr:from>
    <xdr:to>
      <xdr:col>17</xdr:col>
      <xdr:colOff>43829</xdr:colOff>
      <xdr:row>33</xdr:row>
      <xdr:rowOff>90715</xdr:rowOff>
    </xdr:to>
    <mc:AlternateContent xmlns:mc="http://schemas.openxmlformats.org/markup-compatibility/2006">
      <mc:Choice xmlns:cx1="http://schemas.microsoft.com/office/drawing/2015/9/8/chartex" Requires="cx1">
        <xdr:graphicFrame macro="">
          <xdr:nvGraphicFramePr>
            <xdr:cNvPr id="5" name="Diagramm 4">
              <a:extLst>
                <a:ext uri="{FF2B5EF4-FFF2-40B4-BE49-F238E27FC236}">
                  <a16:creationId xmlns:a16="http://schemas.microsoft.com/office/drawing/2014/main" id="{518152D1-C0A5-4291-ACE3-ABCEF5996BE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4625340" y="4023360"/>
              <a:ext cx="6749429" cy="3565435"/>
            </a:xfrm>
            <a:prstGeom prst="rect">
              <a:avLst/>
            </a:prstGeom>
            <a:solidFill>
              <a:prstClr val="white"/>
            </a:solidFill>
            <a:ln w="1">
              <a:solidFill>
                <a:prstClr val="green"/>
              </a:solidFill>
            </a:ln>
          </xdr:spPr>
          <xdr:txBody>
            <a:bodyPr vertOverflow="clip" horzOverflow="clip"/>
            <a:lstStyle/>
            <a:p>
              <a:r>
                <a:rPr lang="de-DE" sz="1100"/>
                <a:t>Dieses Diagramm ist in Ihrer Version von Excel nicht verfügbar.
Wenn Sie diese Form bearbeiten oder diese Arbeitsmappe in einem anderen Dateiformat speichern, wird das Diagramm dauerhaft beschädigt.</a:t>
              </a:r>
            </a:p>
          </xdr:txBody>
        </xdr:sp>
      </mc:Fallback>
    </mc:AlternateContent>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64325</xdr:colOff>
      <xdr:row>32</xdr:row>
      <xdr:rowOff>111207</xdr:rowOff>
    </xdr:from>
    <xdr:to>
      <xdr:col>13</xdr:col>
      <xdr:colOff>706958</xdr:colOff>
      <xdr:row>61</xdr:row>
      <xdr:rowOff>21971</xdr:rowOff>
    </xdr:to>
    <xdr:pic>
      <xdr:nvPicPr>
        <xdr:cNvPr id="2" name="Grafik 1">
          <a:extLst>
            <a:ext uri="{FF2B5EF4-FFF2-40B4-BE49-F238E27FC236}">
              <a16:creationId xmlns:a16="http://schemas.microsoft.com/office/drawing/2014/main" id="{F560C740-D2C3-4238-A470-2D1A2BBB52CF}"/>
            </a:ext>
          </a:extLst>
        </xdr:cNvPr>
        <xdr:cNvPicPr>
          <a:picLocks noChangeAspect="1"/>
        </xdr:cNvPicPr>
      </xdr:nvPicPr>
      <xdr:blipFill>
        <a:blip xmlns:r="http://schemas.openxmlformats.org/officeDocument/2006/relationships" r:embed="rId1"/>
        <a:stretch>
          <a:fillRect/>
        </a:stretch>
      </xdr:blipFill>
      <xdr:spPr>
        <a:xfrm>
          <a:off x="593915" y="8988507"/>
          <a:ext cx="11438269" cy="4905459"/>
        </a:xfrm>
        <a:prstGeom prst="rect">
          <a:avLst/>
        </a:prstGeom>
      </xdr:spPr>
    </xdr:pic>
    <xdr:clientData/>
  </xdr:twoCellAnchor>
  <xdr:twoCellAnchor editAs="oneCell">
    <xdr:from>
      <xdr:col>1</xdr:col>
      <xdr:colOff>166131</xdr:colOff>
      <xdr:row>61</xdr:row>
      <xdr:rowOff>96611</xdr:rowOff>
    </xdr:from>
    <xdr:to>
      <xdr:col>14</xdr:col>
      <xdr:colOff>56393</xdr:colOff>
      <xdr:row>106</xdr:row>
      <xdr:rowOff>135698</xdr:rowOff>
    </xdr:to>
    <xdr:pic>
      <xdr:nvPicPr>
        <xdr:cNvPr id="3" name="Grafik 2">
          <a:extLst>
            <a:ext uri="{FF2B5EF4-FFF2-40B4-BE49-F238E27FC236}">
              <a16:creationId xmlns:a16="http://schemas.microsoft.com/office/drawing/2014/main" id="{35354061-B84D-422E-A5A2-A8DBBC9AD9A6}"/>
            </a:ext>
          </a:extLst>
        </xdr:cNvPr>
        <xdr:cNvPicPr>
          <a:picLocks noChangeAspect="1"/>
        </xdr:cNvPicPr>
      </xdr:nvPicPr>
      <xdr:blipFill>
        <a:blip xmlns:r="http://schemas.openxmlformats.org/officeDocument/2006/relationships" r:embed="rId2"/>
        <a:stretch>
          <a:fillRect/>
        </a:stretch>
      </xdr:blipFill>
      <xdr:spPr>
        <a:xfrm>
          <a:off x="703341" y="14218376"/>
          <a:ext cx="11487903" cy="7785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330200</xdr:colOff>
      <xdr:row>4</xdr:row>
      <xdr:rowOff>19050</xdr:rowOff>
    </xdr:from>
    <xdr:to>
      <xdr:col>1</xdr:col>
      <xdr:colOff>515255</xdr:colOff>
      <xdr:row>6</xdr:row>
      <xdr:rowOff>347655</xdr:rowOff>
    </xdr:to>
    <xdr:pic>
      <xdr:nvPicPr>
        <xdr:cNvPr id="2" name="Picture 1">
          <a:extLst>
            <a:ext uri="{FF2B5EF4-FFF2-40B4-BE49-F238E27FC236}">
              <a16:creationId xmlns:a16="http://schemas.microsoft.com/office/drawing/2014/main" id="{A0038976-85DF-48D9-8D11-223CC6A642C9}"/>
            </a:ext>
          </a:extLst>
        </xdr:cNvPr>
        <xdr:cNvPicPr>
          <a:picLocks noChangeAspect="1"/>
        </xdr:cNvPicPr>
      </xdr:nvPicPr>
      <xdr:blipFill>
        <a:blip xmlns:r="http://schemas.openxmlformats.org/officeDocument/2006/relationships" r:embed="rId1"/>
        <a:stretch>
          <a:fillRect/>
        </a:stretch>
      </xdr:blipFill>
      <xdr:spPr>
        <a:xfrm>
          <a:off x="330200" y="781050"/>
          <a:ext cx="971596" cy="71599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724944</xdr:colOff>
      <xdr:row>56</xdr:row>
      <xdr:rowOff>24320</xdr:rowOff>
    </xdr:from>
    <xdr:to>
      <xdr:col>14</xdr:col>
      <xdr:colOff>365049</xdr:colOff>
      <xdr:row>116</xdr:row>
      <xdr:rowOff>134798</xdr:rowOff>
    </xdr:to>
    <xdr:pic>
      <xdr:nvPicPr>
        <xdr:cNvPr id="3" name="Grafik 2">
          <a:extLst>
            <a:ext uri="{FF2B5EF4-FFF2-40B4-BE49-F238E27FC236}">
              <a16:creationId xmlns:a16="http://schemas.microsoft.com/office/drawing/2014/main" id="{24272211-8C5F-4ACC-8C37-9C2B15C98AC2}"/>
            </a:ext>
          </a:extLst>
        </xdr:cNvPr>
        <xdr:cNvPicPr>
          <a:picLocks noChangeAspect="1"/>
        </xdr:cNvPicPr>
      </xdr:nvPicPr>
      <xdr:blipFill>
        <a:blip xmlns:r="http://schemas.openxmlformats.org/officeDocument/2006/relationships" r:embed="rId1"/>
        <a:stretch>
          <a:fillRect/>
        </a:stretch>
      </xdr:blipFill>
      <xdr:spPr>
        <a:xfrm>
          <a:off x="553494" y="15365285"/>
          <a:ext cx="13522737" cy="1028228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724944</xdr:colOff>
      <xdr:row>55</xdr:row>
      <xdr:rowOff>24320</xdr:rowOff>
    </xdr:from>
    <xdr:to>
      <xdr:col>14</xdr:col>
      <xdr:colOff>514551</xdr:colOff>
      <xdr:row>111</xdr:row>
      <xdr:rowOff>168193</xdr:rowOff>
    </xdr:to>
    <xdr:pic>
      <xdr:nvPicPr>
        <xdr:cNvPr id="3" name="Grafik 2">
          <a:extLst>
            <a:ext uri="{FF2B5EF4-FFF2-40B4-BE49-F238E27FC236}">
              <a16:creationId xmlns:a16="http://schemas.microsoft.com/office/drawing/2014/main" id="{0BC94E9E-A1E9-4EF6-B69D-463BD8270CD2}"/>
            </a:ext>
          </a:extLst>
        </xdr:cNvPr>
        <xdr:cNvPicPr>
          <a:picLocks noChangeAspect="1"/>
        </xdr:cNvPicPr>
      </xdr:nvPicPr>
      <xdr:blipFill>
        <a:blip xmlns:r="http://schemas.openxmlformats.org/officeDocument/2006/relationships" r:embed="rId1"/>
        <a:stretch>
          <a:fillRect/>
        </a:stretch>
      </xdr:blipFill>
      <xdr:spPr>
        <a:xfrm>
          <a:off x="553494" y="16022510"/>
          <a:ext cx="13534182" cy="10282282"/>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E543D41F-E301-478F-9B70-E6061FCEBB2E}"/>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X8A0T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1">
          <a:extLst>
            <a:ext uri="{FF2B5EF4-FFF2-40B4-BE49-F238E27FC236}">
              <a16:creationId xmlns:a16="http://schemas.microsoft.com/office/drawing/2014/main" id="{BB0D7F4A-9A9B-454B-A0BA-0DFE21472558}"/>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X14A0T</a:t>
          </a:r>
          <a:endParaRPr lang="en-AT" sz="100">
            <a:latin typeface="ZWAdobeF" pitchFamily="2" charset="0"/>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724944</xdr:colOff>
      <xdr:row>56</xdr:row>
      <xdr:rowOff>24320</xdr:rowOff>
    </xdr:from>
    <xdr:to>
      <xdr:col>14</xdr:col>
      <xdr:colOff>628761</xdr:colOff>
      <xdr:row>116</xdr:row>
      <xdr:rowOff>134164</xdr:rowOff>
    </xdr:to>
    <xdr:pic>
      <xdr:nvPicPr>
        <xdr:cNvPr id="3" name="Grafik 2">
          <a:extLst>
            <a:ext uri="{FF2B5EF4-FFF2-40B4-BE49-F238E27FC236}">
              <a16:creationId xmlns:a16="http://schemas.microsoft.com/office/drawing/2014/main" id="{0AC84080-7342-4DB3-9785-1489542EF73D}"/>
            </a:ext>
          </a:extLst>
        </xdr:cNvPr>
        <xdr:cNvPicPr>
          <a:picLocks noChangeAspect="1"/>
        </xdr:cNvPicPr>
      </xdr:nvPicPr>
      <xdr:blipFill>
        <a:blip xmlns:r="http://schemas.openxmlformats.org/officeDocument/2006/relationships" r:embed="rId1"/>
        <a:stretch>
          <a:fillRect/>
        </a:stretch>
      </xdr:blipFill>
      <xdr:spPr>
        <a:xfrm>
          <a:off x="553494" y="16022510"/>
          <a:ext cx="13520757" cy="10283552"/>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690D17E3-8C2A-403C-9AE8-3A16165F1BB4}"/>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X8A0T</a:t>
          </a:r>
          <a:endParaRPr lang="en-AT" sz="100">
            <a:latin typeface="ZWAdobeF" pitchFamily="2"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8D14DFC0-2CB8-4751-90CA-87227523562E}"/>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X14A0T</a:t>
          </a:r>
          <a:endParaRPr lang="en-AT" sz="100">
            <a:latin typeface="ZWAdobeF" pitchFamily="2"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FFC7B82-F8F1-440F-BDB4-5383EF5E171F}"/>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X8A0T</a:t>
          </a:r>
          <a:endParaRPr lang="en-AT" sz="100">
            <a:latin typeface="ZWAdobeF" pitchFamily="2"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7E8FD3E1-74E4-4A62-AEB6-16C0FD359CF0}"/>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X8A0T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1">
          <a:extLst>
            <a:ext uri="{FF2B5EF4-FFF2-40B4-BE49-F238E27FC236}">
              <a16:creationId xmlns:a16="http://schemas.microsoft.com/office/drawing/2014/main" id="{9FFA4ADE-ED93-4D70-9D41-A57EDDEF5195}"/>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X14A0T</a:t>
          </a:r>
          <a:endParaRPr lang="en-AT" sz="100">
            <a:latin typeface="ZWAdobeF" pitchFamily="2"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818073</xdr:colOff>
      <xdr:row>4</xdr:row>
      <xdr:rowOff>168455</xdr:rowOff>
    </xdr:from>
    <xdr:to>
      <xdr:col>8</xdr:col>
      <xdr:colOff>174685</xdr:colOff>
      <xdr:row>19</xdr:row>
      <xdr:rowOff>133763</xdr:rowOff>
    </xdr:to>
    <xdr:pic>
      <xdr:nvPicPr>
        <xdr:cNvPr id="3" name="Grafik 2">
          <a:extLst>
            <a:ext uri="{FF2B5EF4-FFF2-40B4-BE49-F238E27FC236}">
              <a16:creationId xmlns:a16="http://schemas.microsoft.com/office/drawing/2014/main" id="{4F4D14F8-F5F6-5F92-DD8A-4BE913ADF81C}"/>
            </a:ext>
          </a:extLst>
        </xdr:cNvPr>
        <xdr:cNvPicPr>
          <a:picLocks noChangeAspect="1"/>
        </xdr:cNvPicPr>
      </xdr:nvPicPr>
      <xdr:blipFill>
        <a:blip xmlns:r="http://schemas.openxmlformats.org/officeDocument/2006/relationships" r:embed="rId1"/>
        <a:stretch>
          <a:fillRect/>
        </a:stretch>
      </xdr:blipFill>
      <xdr:spPr>
        <a:xfrm>
          <a:off x="1141095" y="673694"/>
          <a:ext cx="6069335" cy="2689045"/>
        </a:xfrm>
        <a:prstGeom prst="rect">
          <a:avLst/>
        </a:prstGeom>
      </xdr:spPr>
    </xdr:pic>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1">
          <a:extLst>
            <a:ext uri="{FF2B5EF4-FFF2-40B4-BE49-F238E27FC236}">
              <a16:creationId xmlns:a16="http://schemas.microsoft.com/office/drawing/2014/main" id="{56E3919D-8FB1-42F1-BC85-276D3D273353}"/>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X8A0T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1">
          <a:extLst>
            <a:ext uri="{FF2B5EF4-FFF2-40B4-BE49-F238E27FC236}">
              <a16:creationId xmlns:a16="http://schemas.microsoft.com/office/drawing/2014/main" id="{F4CD8853-77E1-47E7-B782-C399184507A4}"/>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X14A0T</a:t>
          </a:r>
          <a:endParaRPr lang="en-AT" sz="100">
            <a:latin typeface="ZWAdobeF" pitchFamily="2"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B6D07167-37B4-4B05-98C0-3549C89C7AD2}"/>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X12A0T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1">
          <a:extLst>
            <a:ext uri="{FF2B5EF4-FFF2-40B4-BE49-F238E27FC236}">
              <a16:creationId xmlns:a16="http://schemas.microsoft.com/office/drawing/2014/main" id="{08DE36A2-761F-43CF-BE72-D3B030B239C8}"/>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X8A0T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1">
          <a:extLst>
            <a:ext uri="{FF2B5EF4-FFF2-40B4-BE49-F238E27FC236}">
              <a16:creationId xmlns:a16="http://schemas.microsoft.com/office/drawing/2014/main" id="{DBD70232-4733-4149-BD4B-865D7DE564E2}"/>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X14A0T</a:t>
          </a:r>
          <a:endParaRPr lang="en-AT" sz="100">
            <a:latin typeface="ZWAdobeF" pitchFamily="2"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5" name="TextBox 1">
          <a:extLst>
            <a:ext uri="{FF2B5EF4-FFF2-40B4-BE49-F238E27FC236}">
              <a16:creationId xmlns:a16="http://schemas.microsoft.com/office/drawing/2014/main" id="{73E65F7B-279D-48D8-A7C5-22F992B57B80}"/>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X12A0T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1">
          <a:extLst>
            <a:ext uri="{FF2B5EF4-FFF2-40B4-BE49-F238E27FC236}">
              <a16:creationId xmlns:a16="http://schemas.microsoft.com/office/drawing/2014/main" id="{5DA66331-C851-42D7-9D1E-928286BC82FD}"/>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X8A0T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7" name="TextBox 1">
          <a:extLst>
            <a:ext uri="{FF2B5EF4-FFF2-40B4-BE49-F238E27FC236}">
              <a16:creationId xmlns:a16="http://schemas.microsoft.com/office/drawing/2014/main" id="{48763ECC-FF57-4126-9069-7C7D4EB10D82}"/>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X14A0T</a:t>
          </a:r>
          <a:endParaRPr lang="en-AT" sz="100">
            <a:latin typeface="ZWAdobeF" pitchFamily="2"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5E4950C0-0E7F-4164-975D-6FA0AC83BEA3}"/>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X12A0T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3" name="TextBox 1">
          <a:extLst>
            <a:ext uri="{FF2B5EF4-FFF2-40B4-BE49-F238E27FC236}">
              <a16:creationId xmlns:a16="http://schemas.microsoft.com/office/drawing/2014/main" id="{F491C91F-2183-4C36-81E0-0AB9CE7EC332}"/>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X12A0T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4" name="TextBox 1">
          <a:extLst>
            <a:ext uri="{FF2B5EF4-FFF2-40B4-BE49-F238E27FC236}">
              <a16:creationId xmlns:a16="http://schemas.microsoft.com/office/drawing/2014/main" id="{A63B890E-8805-4C4F-8623-B6A0062D744C}"/>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X12A0T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5" name="TextBox 1">
          <a:extLst>
            <a:ext uri="{FF2B5EF4-FFF2-40B4-BE49-F238E27FC236}">
              <a16:creationId xmlns:a16="http://schemas.microsoft.com/office/drawing/2014/main" id="{93862C25-903D-4ED4-8A1D-1874444F0F1C}"/>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X8A0T</a:t>
          </a:r>
          <a:endParaRPr lang="en-AT" sz="100">
            <a:latin typeface="ZWAdobeF" pitchFamily="2" charset="0"/>
          </a:endParaRPr>
        </a:p>
      </xdr:txBody>
    </xdr:sp>
    <xdr:clientData/>
  </xdr:twoCellAnchor>
  <xdr:twoCellAnchor>
    <xdr:from>
      <xdr:col>0</xdr:col>
      <xdr:colOff>3175</xdr:colOff>
      <xdr:row>0</xdr:row>
      <xdr:rowOff>3175</xdr:rowOff>
    </xdr:from>
    <xdr:to>
      <xdr:col>0</xdr:col>
      <xdr:colOff>66675</xdr:colOff>
      <xdr:row>0</xdr:row>
      <xdr:rowOff>105767</xdr:rowOff>
    </xdr:to>
    <xdr:sp macro="" textlink="">
      <xdr:nvSpPr>
        <xdr:cNvPr id="6" name="TextBox 1">
          <a:extLst>
            <a:ext uri="{FF2B5EF4-FFF2-40B4-BE49-F238E27FC236}">
              <a16:creationId xmlns:a16="http://schemas.microsoft.com/office/drawing/2014/main" id="{9016ED1B-D6E5-49C8-B56A-DEAA0039D09C}"/>
            </a:ext>
          </a:extLst>
        </xdr:cNvPr>
        <xdr:cNvSpPr txBox="1"/>
      </xdr:nvSpPr>
      <xdr:spPr>
        <a:xfrm>
          <a:off x="3175" y="3175"/>
          <a:ext cx="61595" cy="100687"/>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de-AT" sz="100">
              <a:latin typeface="ZWAdobeF" pitchFamily="2" charset="0"/>
            </a:rPr>
            <a:t>X14A0T</a:t>
          </a:r>
          <a:endParaRPr lang="en-AT" sz="100">
            <a:latin typeface="ZWAdobeF" pitchFamily="2" charset="0"/>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Microsoft%20Teams-Chatdateien/sustainability-data-pack-rhi-magnesita%20-%202025%20FINAL.xlsx" TargetMode="External"/><Relationship Id="rId2" Type="http://schemas.openxmlformats.org/officeDocument/2006/relationships/externalLinkPath" Target="https://rhimagnesita-my.sharepoint.com/personal/layse_harada_rhimagnesita_com/Documents/SUSTAINABILITY-WIHNHGFSLS3/Sustainability%20Data%20Pack/2025/sustainability-data-pack-rhi-magnesita%20-%202025%20FINAL.xlsx" TargetMode="External"/><Relationship Id="rId1" Type="http://schemas.openxmlformats.org/officeDocument/2006/relationships/externalLinkPath" Target="/personal/layse_harada_rhimagnesita_com/Documents/Microsoft%20Teams-Chatdateien/sustainability-data-pack-rhi-magnesita%20-%202025%20FINAL.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rhimagnesita.sharepoint.com/sites/Sustainability/Freigegebene%20Dokumente/General/CSRD%20Implementation/PWC%20Data%20Request/5%20Interim%20results%20HY%20data/1.%20ESG%20Template%20(ESRS)%20(ENG).xlsx" TargetMode="External"/><Relationship Id="rId1" Type="http://schemas.openxmlformats.org/officeDocument/2006/relationships/externalLinkPath" Target="https://rhimagnesita.sharepoint.com/sites/Sustainability/Freigegebene%20Dokumente/General/CSRD%20Implementation/PWC%20Data%20Request/5%20Interim%20results%20HY%20data/1.%20ESG%20Template%20(ESRS)%20(EN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rhimagnesita.sharepoint.com/sites/msteams_47ec6c/Freigegebene%20Dokumente/Risk%20Management/02_Group%20Risk%20Dashboard/2023%20Q1/RHIM_Top%2020%20Risk%20Dashobard_2022%20Q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harts"/>
      <sheetName val="Cover Page"/>
      <sheetName val="Introduction"/>
      <sheetName val="Table of Contents"/>
      <sheetName val="Targets 2025 "/>
      <sheetName val="Targets 2030"/>
      <sheetName val="Targets Climate"/>
      <sheetName val="Targets Energy"/>
      <sheetName val="GHG emissions"/>
      <sheetName val="  GHG emissions methodology"/>
      <sheetName val="Energy"/>
      <sheetName val="Energy methodology"/>
      <sheetName val=" Physical Climate Risks"/>
      <sheetName val="Transitional Climate Risks"/>
      <sheetName val="Air emissions"/>
      <sheetName val="Water "/>
      <sheetName val="Resources Use and Waste"/>
      <sheetName val="Biodiversity "/>
      <sheetName val="Own Workforce"/>
      <sheetName val="Own Workforce by country"/>
      <sheetName val="Own Workforce by region"/>
      <sheetName val="Health and Safety"/>
      <sheetName val="Diversity"/>
      <sheetName val=" Human Rights"/>
      <sheetName val="Social Dialogue"/>
      <sheetName val="Communities"/>
      <sheetName val="Supply Chain DD"/>
      <sheetName val="SDGs"/>
      <sheetName val="Value Bridge Analysis"/>
      <sheetName val="ESG Ratings"/>
      <sheetName val="ISO Certifications"/>
      <sheetName val="Taxonomy_Summary"/>
      <sheetName val="Taxonomy_Turnover"/>
      <sheetName val="Taxonomy_CapEx"/>
      <sheetName val="Taxonomy_OpE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ynopse"/>
      <sheetName val="ESRS1_AnlageD_Aufbau NHE"/>
      <sheetName val="Struktur komplett"/>
      <sheetName val="ESRS2_DR GOV4"/>
      <sheetName val="ESRS2_AnlageB_ListDatapoint"/>
      <sheetName val="ESRS2_AnlageC"/>
      <sheetName val="ESRS_DR E1-IRO1_1"/>
      <sheetName val="ESRS_DR E1-IRO1_2 "/>
      <sheetName val="Tabelle1"/>
      <sheetName val="ESRS_DR E1-4_1"/>
      <sheetName val="ESRS_DR E1-4_1 (2)"/>
      <sheetName val="ESRS_DR E1-4_2"/>
      <sheetName val="ESRS_DR E1-5_1"/>
      <sheetName val="ESRS_DR E1-5_2"/>
      <sheetName val="ESRS_DR E1-5_3"/>
      <sheetName val="ESRS_DR E1-6_GHG emissions_2"/>
      <sheetName val="ESRS_DR E1-6_GHG emissions_1"/>
      <sheetName val="ESRS_DR E1-6_GHG emissions_3"/>
      <sheetName val="ESRS_DR E1-7_1"/>
      <sheetName val="ESRS_DR E1-7_2"/>
      <sheetName val="ESRS_DR E1-7_3"/>
      <sheetName val="ESRS_DR E1-8"/>
      <sheetName val="ESRS_DR E1-9"/>
      <sheetName val="ESRS_DR E1-9 Physical Climate"/>
      <sheetName val="E2 Pollution"/>
      <sheetName val="ESRS_DR E4-IRO1_1"/>
      <sheetName val="ESRS_DR E4-IRO1_2"/>
      <sheetName val="ESRS_DR E4-IRO1_3"/>
      <sheetName val="ESRS_DR E4-4_1"/>
      <sheetName val="ESRS_DR E4-4_2"/>
      <sheetName val="Resources"/>
      <sheetName val="ESRS_DR_E5"/>
      <sheetName val="ESRS_DR S1-6_1"/>
      <sheetName val="ESRS_DR S1-6_2"/>
      <sheetName val="ESRS_DR S1-6_3"/>
      <sheetName val="ESRS_DR S1-6_4"/>
      <sheetName val="ESRS_DR S1-6_5"/>
      <sheetName val="ESRS_DR S1-8"/>
      <sheetName val="ESRS_DR S1-9"/>
      <sheetName val="ESRS_DR S1-14"/>
      <sheetName val="ESRS_DR S1-17"/>
      <sheetName val="ESRS_DR G1-3"/>
      <sheetName val="ESRS_DR G1-5"/>
      <sheetName val="CSRD Scope of Reporting"/>
      <sheetName val="Formatvorlagen"/>
      <sheetName val="FIRE.sys_Intern_Status_"/>
      <sheetName val="FIRE.sys_Intern_Trans_"/>
      <sheetName val="FIRE.sys_Intern_toolsxbr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Dashboard KRI breakdow (2)"/>
      <sheetName val="Index"/>
      <sheetName val="Risk Dashboard for PPT attach"/>
      <sheetName val="Risk Dashboard AC"/>
      <sheetName val="Risk Dashboard Q4 2022_ppt"/>
      <sheetName val="Working Paper 2023"/>
      <sheetName val="Risk Dashboard Q4 2022_new"/>
      <sheetName val="Risk Dashboard Q4 2022"/>
      <sheetName val="KPIs"/>
      <sheetName val="Risk Dashboard EMT Q2 2022"/>
      <sheetName val="Risk Scorings"/>
      <sheetName val="KRIs summary"/>
      <sheetName val="Print PPT Q2_22"/>
      <sheetName val="Email Set"/>
      <sheetName val="Annual Report"/>
      <sheetName val="Risk scoring definitions"/>
      <sheetName val="Categories of Risks"/>
      <sheetName val="Working Paper 2022"/>
      <sheetName val="Risk 1 BT"/>
      <sheetName val="Risk 1 KRIs"/>
      <sheetName val="Risk 2 BT"/>
      <sheetName val="Risk 2 KRIs"/>
      <sheetName val="Risk 3 BT"/>
      <sheetName val="Risk 3 KRIs"/>
      <sheetName val="Risk 4 BT"/>
      <sheetName val="Risk 4 KRIs"/>
      <sheetName val="Risk 6 BT"/>
      <sheetName val="Risk 6 KRIs"/>
      <sheetName val="Risk 7 BT"/>
      <sheetName val="Risk 7 KRIs"/>
      <sheetName val="Risk 8 BT"/>
      <sheetName val="Risk 8 KRIs"/>
      <sheetName val="Risk 9 BT"/>
      <sheetName val="Risk 9 KRIs"/>
      <sheetName val="Risk 10 BT"/>
      <sheetName val="Risk 10 KRIs"/>
      <sheetName val="Risk 11 BT"/>
      <sheetName val="Risk 11 KRIs"/>
      <sheetName val="Risk 12 BT"/>
      <sheetName val="Risk 12 KRIs"/>
      <sheetName val="Risk 13 BT"/>
      <sheetName val="Risk 13 KRIs"/>
      <sheetName val="Risk 14 BT"/>
      <sheetName val="Risk 14 KRIs"/>
      <sheetName val="Risk 15 BT"/>
      <sheetName val="Risk 15 KRIs"/>
      <sheetName val="Risk 16 BT"/>
      <sheetName val="Risk 16 KRIs"/>
      <sheetName val="Risk 17 BT"/>
      <sheetName val="Risk 17 KRIs"/>
      <sheetName val="Risk 18 BT"/>
      <sheetName val="Risk 18 KRIs"/>
      <sheetName val="Risk 19 BT"/>
      <sheetName val="Risk 19 KRIs"/>
      <sheetName val="Risk 20 BT"/>
      <sheetName val="Risk 20 KRIs"/>
      <sheetName val="Risk 21 BT"/>
      <sheetName val="Risk 21 KRIs"/>
      <sheetName val="Risk 22 BT "/>
      <sheetName val="Risk 22 KRIs"/>
      <sheetName val="Risk 23 BT"/>
      <sheetName val="Risk 23 KRIs"/>
      <sheetName val="Risk 24 BT"/>
      <sheetName val="Risk 24 KRIs"/>
      <sheetName val="Risk 25 BT"/>
      <sheetName val="Risk 25 KRIs"/>
      <sheetName val="Risk Appetite"/>
      <sheetName val="Risk scoring system"/>
      <sheetName val="Risk Appetite scoring"/>
      <sheetName val="Risk Tolerance scoring"/>
      <sheetName val="Process &amp; Methodology"/>
    </sheetNames>
    <sheetDataSet>
      <sheetData sheetId="0"/>
      <sheetData sheetId="1"/>
      <sheetData sheetId="2"/>
      <sheetData sheetId="3"/>
      <sheetData sheetId="4"/>
      <sheetData sheetId="5"/>
      <sheetData sheetId="6"/>
      <sheetData sheetId="7"/>
      <sheetData sheetId="8"/>
      <sheetData sheetId="9"/>
      <sheetData sheetId="10">
        <row r="6">
          <cell r="A6">
            <v>1</v>
          </cell>
          <cell r="B6" t="str">
            <v>Cost structure</v>
          </cell>
          <cell r="C6" t="str">
            <v xml:space="preserve">Inability to adapt cost structure to changing environment and strategy, inability to improve operating efficiency (variabilization of costs, production network optimization, adoption of lean principles, right sizing of SG&amp;A costs) </v>
          </cell>
          <cell r="D6" t="str">
            <v>3 - Inability to execute key strategic initiatives</v>
          </cell>
          <cell r="E6" t="str">
            <v>´- inefficient production process
- lack of a dynamic labour market in certain markets we operate in
- lack of inhouse skills require engagement of consultants
- inability to identify inefficiencies/ineffectiveness of fixed cost structure
- speed of changes to improve the cost structure is too low compared to the changes in the environment</v>
          </cell>
          <cell r="F6" t="str">
            <v>Internal</v>
          </cell>
          <cell r="G6" t="e">
            <v>#REF!</v>
          </cell>
          <cell r="H6" t="str">
            <v>Medium</v>
          </cell>
          <cell r="I6" t="str">
            <v>Risk materialized</v>
          </cell>
          <cell r="J6">
            <v>5</v>
          </cell>
          <cell r="K6" t="str">
            <v>if no change is made the company will have a very high impact on EBIT (Immunity should cut m120€ in costs to preserve EBITS)</v>
          </cell>
          <cell r="L6">
            <v>5</v>
          </cell>
          <cell r="M6">
            <v>25</v>
          </cell>
          <cell r="N6" t="str">
            <v>critical</v>
          </cell>
          <cell r="O6" t="str">
            <v>´- SG&amp;A cost reduction initiatives (including Corona related initiatives)
- Lean initiatives
- Closure/Part closure of production sites to optimize fixed costs absorption and production network</v>
          </cell>
          <cell r="P6" t="str">
            <v xml:space="preserve">SG&amp;A and Immunity measures continue to deliver according to expectations and conversion cost not a point of concern. </v>
          </cell>
          <cell r="Q6">
            <v>2</v>
          </cell>
          <cell r="S6">
            <v>4</v>
          </cell>
          <cell r="T6">
            <v>8</v>
          </cell>
          <cell r="U6" t="str">
            <v>medium</v>
          </cell>
          <cell r="V6">
            <v>0</v>
          </cell>
          <cell r="W6">
            <v>0</v>
          </cell>
          <cell r="Y6">
            <v>5</v>
          </cell>
          <cell r="AA6">
            <v>5</v>
          </cell>
          <cell r="AB6">
            <v>25</v>
          </cell>
          <cell r="AC6" t="str">
            <v>critical</v>
          </cell>
          <cell r="AF6">
            <v>2</v>
          </cell>
          <cell r="AH6">
            <v>4</v>
          </cell>
          <cell r="AI6">
            <v>8</v>
          </cell>
          <cell r="AJ6" t="str">
            <v>medium</v>
          </cell>
          <cell r="AK6">
            <v>0</v>
          </cell>
          <cell r="AL6">
            <v>0</v>
          </cell>
          <cell r="AM6" t="str">
            <v>Risk materialized</v>
          </cell>
          <cell r="AN6">
            <v>5</v>
          </cell>
          <cell r="AO6" t="str">
            <v>if no change is made the company will have a very high impact on EBIT (Immunity should cut m120€ in costs to preserve EBITS)</v>
          </cell>
          <cell r="AP6">
            <v>5</v>
          </cell>
          <cell r="AQ6">
            <v>25</v>
          </cell>
          <cell r="AR6" t="str">
            <v>critical</v>
          </cell>
          <cell r="AS6" t="str">
            <v>´- SG&amp;A cost reduction initiatives (including Corona related initiatives)
- Lean initiatives
- Closure/Part closure of production sites to optimize fixed costs absorption and production network</v>
          </cell>
          <cell r="AT6" t="str">
            <v xml:space="preserve">SG&amp;A and Immunity measures continue to deliver according to expectations and conversion cost not a point of concern. </v>
          </cell>
          <cell r="AU6">
            <v>2</v>
          </cell>
          <cell r="AW6">
            <v>4</v>
          </cell>
          <cell r="AX6">
            <v>8</v>
          </cell>
          <cell r="AY6" t="str">
            <v>medium</v>
          </cell>
          <cell r="AZ6">
            <v>-8</v>
          </cell>
          <cell r="BA6">
            <v>-8</v>
          </cell>
          <cell r="BB6" t="str">
            <v>Risk materialized</v>
          </cell>
          <cell r="BC6">
            <v>5</v>
          </cell>
          <cell r="BD6" t="str">
            <v>if no change is made the company will have a very high impact on EBIT (Immunity should cut m120€ in costs to preserve EBITS)</v>
          </cell>
          <cell r="BE6">
            <v>5</v>
          </cell>
          <cell r="BF6">
            <v>25</v>
          </cell>
          <cell r="BG6" t="str">
            <v>critical</v>
          </cell>
          <cell r="BH6" t="str">
            <v>´- SG&amp;A cost reduction initiatives (including Corona related initiatives)
- Lean initiatives
- Closure/Part closure of production sites to optimize fixed costs absorption and production network</v>
          </cell>
          <cell r="BJ6">
            <v>4</v>
          </cell>
          <cell r="BL6">
            <v>4</v>
          </cell>
          <cell r="BM6">
            <v>16</v>
          </cell>
          <cell r="BN6" t="str">
            <v>high</v>
          </cell>
          <cell r="BO6">
            <v>16</v>
          </cell>
          <cell r="BP6">
            <v>16</v>
          </cell>
          <cell r="BQ6" t="str">
            <v>Risk materialized</v>
          </cell>
          <cell r="BR6">
            <v>5</v>
          </cell>
          <cell r="BS6" t="str">
            <v>if no change is made the company will have a very high impact on EBIT (Immunity should cut m120€ in costs to preserve EBITS)</v>
          </cell>
          <cell r="BT6">
            <v>5</v>
          </cell>
          <cell r="BU6">
            <v>25</v>
          </cell>
          <cell r="BV6" t="str">
            <v>critical</v>
          </cell>
          <cell r="BW6" t="str">
            <v>´- SG&amp;A cost reduction initiatives (including Corona related initiatives)
- Lean initiatives
- Closure/Part closure of production sites to optimize fixed costs absorption and production network</v>
          </cell>
          <cell r="BY6">
            <v>5</v>
          </cell>
          <cell r="CA6">
            <v>4</v>
          </cell>
          <cell r="CB6">
            <v>20</v>
          </cell>
          <cell r="CC6" t="str">
            <v>critical</v>
          </cell>
          <cell r="CD6">
            <v>20</v>
          </cell>
          <cell r="CE6">
            <v>20</v>
          </cell>
          <cell r="CF6" t="str">
            <v>Risk materialized</v>
          </cell>
          <cell r="CG6">
            <v>5</v>
          </cell>
          <cell r="CH6" t="str">
            <v>if no change is made the company will have a very high impact on EBIT (Immunity should cut m120€ in costs to preserve EBITS)</v>
          </cell>
          <cell r="CI6">
            <v>5</v>
          </cell>
          <cell r="CJ6">
            <v>25</v>
          </cell>
          <cell r="CK6" t="str">
            <v>critical</v>
          </cell>
          <cell r="CL6" t="str">
            <v>´- SG&amp;A cost reduction initiatives (including Corona related initiatives)
- Lean initiatives
- Closure/Part closure of production sites to optimize fixed costs absorption and production network</v>
          </cell>
          <cell r="CN6">
            <v>5</v>
          </cell>
          <cell r="CP6">
            <v>4</v>
          </cell>
          <cell r="CQ6">
            <v>20</v>
          </cell>
          <cell r="CR6" t="str">
            <v>critical</v>
          </cell>
          <cell r="CS6">
            <v>0</v>
          </cell>
          <cell r="CT6">
            <v>0</v>
          </cell>
          <cell r="CU6" t="str">
            <v>Very likely - likelihood increased as consequence of coronavirus crisis changing the economic environment leading to reduced sales and reduced production volumes</v>
          </cell>
          <cell r="CV6">
            <v>5</v>
          </cell>
          <cell r="CW6" t="str">
            <v>´- low operating efficiency leading to margin erosion
- low profitability due fixed costs under absorption and high conversion costs</v>
          </cell>
          <cell r="CX6">
            <v>4</v>
          </cell>
          <cell r="CY6">
            <v>20</v>
          </cell>
          <cell r="CZ6" t="str">
            <v>critical</v>
          </cell>
          <cell r="DA6" t="str">
            <v>´- SG&amp;A cost reduction initiatives (including Corona related initiatives)
- Lean initiatives
- Closure/Part closure of production sites to optimize fixed costs absorption and production network</v>
          </cell>
          <cell r="DB6">
            <v>5</v>
          </cell>
          <cell r="DC6">
            <v>4</v>
          </cell>
          <cell r="DD6">
            <v>20</v>
          </cell>
          <cell r="DE6" t="str">
            <v>critical</v>
          </cell>
          <cell r="DF6">
            <v>8</v>
          </cell>
          <cell r="DG6">
            <v>8</v>
          </cell>
          <cell r="DH6">
            <v>12</v>
          </cell>
          <cell r="DI6" t="str">
            <v>high</v>
          </cell>
          <cell r="DJ6" t="str">
            <v>R. Jayendran</v>
          </cell>
          <cell r="DK6" t="str">
            <v>Business Leaders</v>
          </cell>
          <cell r="DL6" t="str">
            <v>BMT / EMT</v>
          </cell>
          <cell r="DM6" t="str">
            <v>BoD</v>
          </cell>
        </row>
        <row r="7">
          <cell r="A7">
            <v>2</v>
          </cell>
          <cell r="B7" t="str">
            <v>Influence of demand changes over global production network (MGU and MU in US, DGG in Europe, DBM setup, cyrcular economy impact)</v>
          </cell>
          <cell r="C7" t="str">
            <v>Influence of demand changes over global production network (MGU and MU in US, DGG in Europe, DBM setup, cyrcular economy impact)</v>
          </cell>
          <cell r="D7" t="str">
            <v>5 - Reliability of the end-to-end value chain</v>
          </cell>
          <cell r="E7" t="str">
            <v xml:space="preserve">- changes in the trade barriers in NAM
- chinese competition in NAM
</v>
          </cell>
          <cell r="F7" t="str">
            <v>Both</v>
          </cell>
          <cell r="G7" t="e">
            <v>#REF!</v>
          </cell>
          <cell r="H7" t="str">
            <v>Medium</v>
          </cell>
          <cell r="I7" t="str">
            <v>very likely to materialized (especially on the long run)</v>
          </cell>
          <cell r="J7">
            <v>5</v>
          </cell>
          <cell r="K7" t="str">
            <v>erosion of NAM margin (see detailed calculation)</v>
          </cell>
          <cell r="L7">
            <v>4</v>
          </cell>
          <cell r="M7">
            <v>20</v>
          </cell>
          <cell r="N7" t="str">
            <v>critical</v>
          </cell>
          <cell r="O7" t="str">
            <v>active monitoring of the evolution of the traiffs and chinese competition</v>
          </cell>
          <cell r="P7" t="str">
            <v>Favorable ruling for the continued protection of our magnesita carbon brick business in the US</v>
          </cell>
          <cell r="Q7">
            <v>3</v>
          </cell>
          <cell r="R7" t="str">
            <v xml:space="preserve">impact doesn not change </v>
          </cell>
          <cell r="S7">
            <v>4</v>
          </cell>
          <cell r="T7">
            <v>12</v>
          </cell>
          <cell r="U7" t="str">
            <v>high</v>
          </cell>
          <cell r="V7">
            <v>0</v>
          </cell>
          <cell r="W7">
            <v>0</v>
          </cell>
          <cell r="Y7">
            <v>5</v>
          </cell>
          <cell r="AA7">
            <v>4</v>
          </cell>
          <cell r="AB7">
            <v>20</v>
          </cell>
          <cell r="AC7" t="str">
            <v>critical</v>
          </cell>
          <cell r="AE7" t="str">
            <v>Favorable ruling for the continued protection of our magnesita carbon brick business in the US</v>
          </cell>
          <cell r="AF7">
            <v>3</v>
          </cell>
          <cell r="AH7">
            <v>4</v>
          </cell>
          <cell r="AI7">
            <v>12</v>
          </cell>
          <cell r="AJ7" t="str">
            <v>high</v>
          </cell>
          <cell r="AK7">
            <v>-8</v>
          </cell>
          <cell r="AL7">
            <v>-8</v>
          </cell>
          <cell r="AM7" t="str">
            <v>very likely to materialized</v>
          </cell>
          <cell r="AN7">
            <v>5</v>
          </cell>
          <cell r="AO7" t="str">
            <v>erosion of NAM margin (see detailed calculation)</v>
          </cell>
          <cell r="AP7">
            <v>4</v>
          </cell>
          <cell r="AQ7">
            <v>20</v>
          </cell>
          <cell r="AR7" t="str">
            <v>critical</v>
          </cell>
          <cell r="AS7" t="str">
            <v>active monitoring of the evolution of the traiffs and chinese competition</v>
          </cell>
          <cell r="AU7">
            <v>5</v>
          </cell>
          <cell r="AW7">
            <v>4</v>
          </cell>
          <cell r="AX7">
            <v>20</v>
          </cell>
          <cell r="AY7" t="str">
            <v>critical</v>
          </cell>
          <cell r="AZ7">
            <v>0</v>
          </cell>
          <cell r="BA7">
            <v>0</v>
          </cell>
          <cell r="BB7" t="str">
            <v>very likely to materialized</v>
          </cell>
          <cell r="BC7">
            <v>5</v>
          </cell>
          <cell r="BD7" t="str">
            <v>erosion of NAM margin (see detailed calculation)</v>
          </cell>
          <cell r="BE7">
            <v>4</v>
          </cell>
          <cell r="BF7">
            <v>20</v>
          </cell>
          <cell r="BG7" t="str">
            <v>critical</v>
          </cell>
          <cell r="BH7" t="str">
            <v>active monitoring of the evolution of the traiffs and chinese competition</v>
          </cell>
          <cell r="BJ7">
            <v>5</v>
          </cell>
          <cell r="BL7">
            <v>4</v>
          </cell>
          <cell r="BM7">
            <v>20</v>
          </cell>
          <cell r="BN7" t="str">
            <v>critical</v>
          </cell>
          <cell r="BO7">
            <v>20</v>
          </cell>
          <cell r="BQ7" t="str">
            <v>very likely to materialized</v>
          </cell>
          <cell r="BR7">
            <v>5</v>
          </cell>
          <cell r="BS7" t="str">
            <v>erosion of NAM margin (see detailed calculation)</v>
          </cell>
          <cell r="BT7">
            <v>4</v>
          </cell>
          <cell r="BU7">
            <v>20</v>
          </cell>
          <cell r="BV7" t="str">
            <v>critical</v>
          </cell>
          <cell r="BW7" t="str">
            <v>active monitoring of the evolution of the traiffs and chinese competition</v>
          </cell>
          <cell r="BY7">
            <v>5</v>
          </cell>
          <cell r="CA7">
            <v>4</v>
          </cell>
          <cell r="CB7">
            <v>20</v>
          </cell>
          <cell r="CC7" t="str">
            <v>critical</v>
          </cell>
          <cell r="CD7">
            <v>20</v>
          </cell>
          <cell r="DJ7" t="str">
            <v>G. Franco
R. Jayendran</v>
          </cell>
          <cell r="DK7" t="str">
            <v>Craig Powell</v>
          </cell>
          <cell r="DL7" t="str">
            <v>EMT</v>
          </cell>
          <cell r="DM7" t="str">
            <v>BoD</v>
          </cell>
        </row>
        <row r="8">
          <cell r="A8">
            <v>3</v>
          </cell>
          <cell r="B8" t="str">
            <v>Macroeconomic environment</v>
          </cell>
          <cell r="C8" t="str">
            <v>Global macro-economic conditions leading to sustained weakness in demand for RHIM products</v>
          </cell>
          <cell r="D8" t="str">
            <v xml:space="preserve">1 - Macroeconomic environment </v>
          </cell>
          <cell r="E8" t="str">
            <v>decrease in demand due to:
- to slow down/crisis of customers industries (i.e. steel production)
- global economy slow down or recession (including cyclical slow down or triggered by  one-off rare events (pandemic, natural disasters, wars)</v>
          </cell>
          <cell r="F8" t="str">
            <v>External</v>
          </cell>
          <cell r="G8" t="e">
            <v>#REF!</v>
          </cell>
          <cell r="H8" t="str">
            <v>High</v>
          </cell>
          <cell r="I8" t="str">
            <v>Likelihood decreased compare to 2020/pandemic environment however still highly volatile and with global supply chain and logistic challenges</v>
          </cell>
          <cell r="J8">
            <v>4</v>
          </cell>
          <cell r="K8" t="str">
            <v>´- lower sales volumes Leading to lower fixed cost coverage
- margin erosion
- on the long run, liquidity problems</v>
          </cell>
          <cell r="L8">
            <v>5</v>
          </cell>
          <cell r="M8">
            <v>20</v>
          </cell>
          <cell r="N8" t="str">
            <v>critical</v>
          </cell>
          <cell r="O8" t="str">
            <v>Coronavirus crisis management to manage liquidity, reduce fixed costs, preserve profitability and manage operational and supply chain disruptions. Project immunity should deliver m120€ savings and make the company fit for the new business environment. Project marcury and value-chain targeted initatives should reduce the level of impact</v>
          </cell>
          <cell r="P8" t="str">
            <v>likelihood of macroeconomic events cannot be influenced</v>
          </cell>
          <cell r="Q8">
            <v>4</v>
          </cell>
          <cell r="R8" t="str">
            <v>impact is mitigated by existing initatives</v>
          </cell>
          <cell r="S8">
            <v>4</v>
          </cell>
          <cell r="T8">
            <v>16</v>
          </cell>
          <cell r="U8" t="str">
            <v>high</v>
          </cell>
          <cell r="V8">
            <v>0</v>
          </cell>
          <cell r="W8">
            <v>0</v>
          </cell>
          <cell r="Y8">
            <v>5</v>
          </cell>
          <cell r="AA8">
            <v>5</v>
          </cell>
          <cell r="AB8">
            <v>25</v>
          </cell>
          <cell r="AC8" t="str">
            <v>critical</v>
          </cell>
          <cell r="AD8" t="str">
            <v>Financial market risk was merged with macroeconomic environment risk</v>
          </cell>
          <cell r="AF8">
            <v>4</v>
          </cell>
          <cell r="AH8">
            <v>4</v>
          </cell>
          <cell r="AI8">
            <v>16</v>
          </cell>
          <cell r="AJ8" t="str">
            <v>high</v>
          </cell>
          <cell r="AK8">
            <v>0</v>
          </cell>
          <cell r="AL8">
            <v>0</v>
          </cell>
          <cell r="AM8" t="str">
            <v>Likelihood is now increased from "possible" to "very likely" as the likelihood of this risk crystalized in Q1 2020 with Coronavirus global pandemic.</v>
          </cell>
          <cell r="AN8">
            <v>5</v>
          </cell>
          <cell r="AO8" t="str">
            <v>´- lower sales volumes Leading to lower fixed cost coverage
- margin erosion
- on the long run, liquidity problems</v>
          </cell>
          <cell r="AP8">
            <v>5</v>
          </cell>
          <cell r="AQ8">
            <v>25</v>
          </cell>
          <cell r="AR8" t="str">
            <v>critical</v>
          </cell>
          <cell r="AS8" t="str">
            <v>Coronavirus crisis management to manage liquidity, reduce fixed costs, preserve profitability and manage operational and supply chain disruptions. Project immunity should deliver m120€ savings and make the company fit for the new business environment</v>
          </cell>
          <cell r="AT8" t="str">
            <v>likelihood reduced due to the financial markets recovery and overall economical stabilization</v>
          </cell>
          <cell r="AU8">
            <v>4</v>
          </cell>
          <cell r="AW8">
            <v>4</v>
          </cell>
          <cell r="AX8">
            <v>16</v>
          </cell>
          <cell r="AY8" t="str">
            <v>high</v>
          </cell>
          <cell r="AZ8">
            <v>-4</v>
          </cell>
          <cell r="BA8">
            <v>-4</v>
          </cell>
          <cell r="BB8" t="str">
            <v>Likelihood is now increased from "possible" to "very likely" as the likelihood of this risk crystalized in Q1 2020 with Coronavirus global pandemic.</v>
          </cell>
          <cell r="BC8">
            <v>5</v>
          </cell>
          <cell r="BD8" t="str">
            <v>´- lower sales volumes Leading to lower fixed cost coverage
- margin erosion
- on the long run, liquidity problems</v>
          </cell>
          <cell r="BE8">
            <v>5</v>
          </cell>
          <cell r="BF8">
            <v>25</v>
          </cell>
          <cell r="BG8" t="str">
            <v>critical</v>
          </cell>
          <cell r="BH8" t="str">
            <v>Coronavirus crisis management to manage liquidity, reduce fixed costs, preserve profitability and manage operational and supply chain disruptions. Project immunity should deliver m120€ savings and make the company fit for the new business environment</v>
          </cell>
          <cell r="BJ8">
            <v>5</v>
          </cell>
          <cell r="BL8">
            <v>4</v>
          </cell>
          <cell r="BM8">
            <v>20</v>
          </cell>
          <cell r="BN8" t="str">
            <v>critical</v>
          </cell>
          <cell r="BO8">
            <v>20</v>
          </cell>
          <cell r="BP8">
            <v>20</v>
          </cell>
          <cell r="BQ8" t="str">
            <v>Likelihood is now increased from "possible" to "very likely" as the likelihood of this risk crystalized in Q1 2020 with Coronavirus global pandemic.</v>
          </cell>
          <cell r="BR8">
            <v>5</v>
          </cell>
          <cell r="BS8" t="str">
            <v>´- lower sales volumes Leading to lower fixed cost coverage
- margin erosion
- on the long run, liquidity problems</v>
          </cell>
          <cell r="BT8">
            <v>5</v>
          </cell>
          <cell r="BU8">
            <v>25</v>
          </cell>
          <cell r="BV8" t="str">
            <v>critical</v>
          </cell>
          <cell r="BW8" t="str">
            <v>Coronavirus crisis management to manage liquidity, reduce fixed costs, preserve profitability and manage operational and supply chain disruptions. Project immunity should deliver m120€ savings and make the company fit for the new business environment</v>
          </cell>
          <cell r="BY8">
            <v>5</v>
          </cell>
          <cell r="CA8">
            <v>4</v>
          </cell>
          <cell r="CB8">
            <v>20</v>
          </cell>
          <cell r="CC8" t="str">
            <v>critical</v>
          </cell>
          <cell r="CD8">
            <v>20</v>
          </cell>
          <cell r="CE8">
            <v>20</v>
          </cell>
          <cell r="CF8" t="str">
            <v>Likelihood is now increased from "possible" to "very likely" as the likelihood of this risk crystalized in Q1 2020 with Coronavirus global pandemic.</v>
          </cell>
          <cell r="CG8">
            <v>5</v>
          </cell>
          <cell r="CH8" t="str">
            <v>´- lower sales volumes Leading to lower fixed cost coverage
- margin erosion
- on the long run, liquidity problems</v>
          </cell>
          <cell r="CI8">
            <v>5</v>
          </cell>
          <cell r="CJ8">
            <v>25</v>
          </cell>
          <cell r="CK8" t="str">
            <v>critical</v>
          </cell>
          <cell r="CL8" t="str">
            <v>Coronavirus crisis management to manage liquidity, reduce fixed costs, preserve profitability and manage operational and supply chain disruptions. Project immunity should deliver m120€ savings and make the company fit for the new business environment</v>
          </cell>
          <cell r="CN8">
            <v>5</v>
          </cell>
          <cell r="CP8">
            <v>4</v>
          </cell>
          <cell r="CQ8">
            <v>20</v>
          </cell>
          <cell r="CR8" t="str">
            <v>critical</v>
          </cell>
          <cell r="CS8">
            <v>-5</v>
          </cell>
          <cell r="CT8">
            <v>-5</v>
          </cell>
          <cell r="CU8" t="str">
            <v>Likelihood is now increased from "possible" to "very likely" as the likelihood of this risk crystalized in Q1 2020 with Coronavirus global pandemic.</v>
          </cell>
          <cell r="CV8">
            <v>5</v>
          </cell>
          <cell r="CW8" t="str">
            <v>´- lower sales volumes Leading to lower fixed cost coverage
- margin erosion
- on the long run, liquidity problems</v>
          </cell>
          <cell r="CX8">
            <v>5</v>
          </cell>
          <cell r="CY8">
            <v>25</v>
          </cell>
          <cell r="CZ8" t="str">
            <v>critical</v>
          </cell>
          <cell r="DA8" t="str">
            <v>Coronavirus crisis management to manage liquidity, reduce fixed costs, preserve profitability and manage operational and supply chain disruptions. Still, given the magnitude of the impact that coronavirus is having/is likely to have on RHIM and global economic context, the residual impact is still critical.</v>
          </cell>
          <cell r="DB8">
            <v>5</v>
          </cell>
          <cell r="DC8">
            <v>5</v>
          </cell>
          <cell r="DD8">
            <v>25</v>
          </cell>
          <cell r="DE8" t="str">
            <v>critical</v>
          </cell>
          <cell r="DF8">
            <v>10</v>
          </cell>
          <cell r="DG8">
            <v>10</v>
          </cell>
          <cell r="DH8">
            <v>15</v>
          </cell>
          <cell r="DI8" t="str">
            <v>high</v>
          </cell>
          <cell r="DJ8" t="str">
            <v>S. Borgas
I. Botha</v>
          </cell>
          <cell r="DK8" t="str">
            <v>various</v>
          </cell>
          <cell r="DL8" t="str">
            <v>EMT</v>
          </cell>
          <cell r="DM8" t="str">
            <v>BoD</v>
          </cell>
        </row>
        <row r="9">
          <cell r="A9">
            <v>4</v>
          </cell>
          <cell r="B9" t="str">
            <v>Compliance (CoC, Fraud, Corruption)</v>
          </cell>
          <cell r="C9" t="str">
            <v>Breach of legislative/regulatory requirements (incl. data protection regulation), or code of conduct / fraud / corruption / ineffective corporate governance</v>
          </cell>
          <cell r="D9" t="str">
            <v>8 - Regulatory and compliance risks</v>
          </cell>
          <cell r="E9" t="str">
            <v>´- Company processes do not ensure compliance with law and regulations
- Employee behaviour</v>
          </cell>
          <cell r="F9" t="str">
            <v>Internal</v>
          </cell>
          <cell r="G9" t="e">
            <v>#REF!</v>
          </cell>
          <cell r="H9" t="str">
            <v>Very high</v>
          </cell>
          <cell r="I9" t="str">
            <v>Likely due to the geographies the company operates in which include countries with high risk of corruption (based on Transparency International Reports). Also the number of countries RHIM operates in directly reflects into the number of regulation we need to comply with. Risk has slightly increased likelihood due to increased local regulatory changes due to coronavirus.
Workers Councils generate Further scrutiny on internal compliance standards which might lead to Potential escalation with regulatory bodies, courts, etc. 
Regulated countries with significant exposure to fines and lawsuits (EU/EEA (GDPR) – high, USA (CCPA) – high, Brazil (LGPD) – medium, Russia (DPA) &amp; China ( Cybersecurity Law) – medium)
Frequent large organisational changes and M&amp;A</v>
          </cell>
          <cell r="J9">
            <v>4</v>
          </cell>
          <cell r="K9" t="str">
            <v>´- financial losses
- operational restrictions
- fines and sanctions
- negative press compromising company reputation and impacting negatively on stock price</v>
          </cell>
          <cell r="L9">
            <v>5</v>
          </cell>
          <cell r="M9">
            <v>20</v>
          </cell>
          <cell r="N9" t="str">
            <v>critical</v>
          </cell>
          <cell r="O9" t="str">
            <v xml:space="preserve">´- Code of conduct and compliance policies and procedures
- Strengthen capability of compliance department
- Enhancement of global training and documentation of compliance matters
- Local employee crime insurances covering a few local markets (UK, US and a few others).
´- trainings and awareness campaigns
- Data classification and protection system
- Adoption of information security best practices, standards and frameworks
- privacy statements </v>
          </cell>
          <cell r="P9" t="str">
            <v>internal controls in place reduce the likelihood of a large impact</v>
          </cell>
          <cell r="Q9">
            <v>2</v>
          </cell>
          <cell r="R9" t="str">
            <v xml:space="preserve">large impact is possible but overall unlikely. </v>
          </cell>
          <cell r="S9">
            <v>4</v>
          </cell>
          <cell r="T9">
            <v>8</v>
          </cell>
          <cell r="U9" t="str">
            <v>medium</v>
          </cell>
          <cell r="V9">
            <v>0</v>
          </cell>
          <cell r="W9">
            <v>0</v>
          </cell>
          <cell r="Y9">
            <v>4</v>
          </cell>
          <cell r="AA9">
            <v>4</v>
          </cell>
          <cell r="AB9">
            <v>16</v>
          </cell>
          <cell r="AC9" t="str">
            <v>high</v>
          </cell>
          <cell r="AD9" t="str">
            <v>Significant milestones to strenghen preventative measures were achieved (compliance policies, guidelines, training)</v>
          </cell>
          <cell r="AE9" t="str">
            <v>Reduced due to achievement of a significant level of risk mitigation</v>
          </cell>
          <cell r="AF9">
            <v>2</v>
          </cell>
          <cell r="AH9">
            <v>4</v>
          </cell>
          <cell r="AI9">
            <v>8</v>
          </cell>
          <cell r="AJ9" t="str">
            <v>medium</v>
          </cell>
          <cell r="AK9">
            <v>-4</v>
          </cell>
          <cell r="AL9">
            <v>-4</v>
          </cell>
          <cell r="AM9" t="str">
            <v>Likely due to the geographies the company operates in which include countries with high risk of corruption (based on Transparency International Reports). Also the number of countries RHIM operates in directly reflects into the number of regulation we need to comply with. Risk has slightly increased likelihood due to increased local regulatory changes due to coronavirus.
Large amount of personal data:
•	Active data of employees (13k+) + former employees
•	lack of mapping of customers/vendors data, sensitive and obsolete data is a risk factor
Workers Councils generate Further scrutiny on internal compliance standards which might lead to Potential escalation with regulatory bodies, courts, etc. 
Cross-border data processing
•	Data localisation rules (Russia, China, etc.) – copy of data need to be local and then can be exported outside. China not current risk but we could be included into the law
•	Complex intragroup data protection agreements  - no agreements 
•	Higher exposure to local privacy laws. 
Regulated countries with significant exposure to fines and lawsuits (EU/EEA (GDPR) – high, USA (CCPA) – high, Brazil (LGPD) – medium, Russia (DPA) &amp; China ( Cybersecurity Law) – medium)
Frequent large organisational changes and M&amp;A
Lack of a Global Privacy Program, Strategy/Roadmap. Limited number of procedures</v>
          </cell>
          <cell r="AN9">
            <v>4</v>
          </cell>
          <cell r="AO9" t="str">
            <v>´- financial losses
- operational restrictions
- fines and sanctions
- negative press compromising company reputation and impacting negatively on stock price</v>
          </cell>
          <cell r="AP9">
            <v>4</v>
          </cell>
          <cell r="AQ9">
            <v>16</v>
          </cell>
          <cell r="AR9" t="str">
            <v>high</v>
          </cell>
          <cell r="AS9" t="str">
            <v xml:space="preserve">´- Code of conduct and compliance policies and procedures
- Strengthen capability of compliance department
- Enhancement of global training and documentation of compliance matters
- Local employee crime insurances covering a few local markets (UK, US and a few others).
´- trainings and awareness campaigns
- Data classification and protection system
- Adoption of information security best practices, standards and frameworks
- privacy statements </v>
          </cell>
          <cell r="AU9">
            <v>3</v>
          </cell>
          <cell r="AW9">
            <v>4</v>
          </cell>
          <cell r="AX9">
            <v>12</v>
          </cell>
          <cell r="AY9" t="str">
            <v>high</v>
          </cell>
          <cell r="AZ9">
            <v>0</v>
          </cell>
          <cell r="BA9">
            <v>0</v>
          </cell>
          <cell r="BB9" t="str">
            <v>Likely due to the geographies the company operates in which include countries with high risk of corruption (based on Transparency International Reports). Also the number of countries RHIM operates in directly reflects into the number of regulation we need to comply with. Risk has slightly increased likelihood due to increased local regulatory changes due to coronavirus.
Large amount of personal data:
•	Active data of employees (13k+) + former employees
•	lack of mapping of customers/vendors data, sensitive and obsolete data is a risk factor
Workers Councils generate Further scrutiny on internal compliance standards which might lead to Potential escalation with regulatory bodies, courts, etc. 
Cross-border data processing
•	Data localisation rules (Russia, China, etc.) – copy of data need to be local and then can be exported outside. China not current risk but we could be included into the law
•	Complex intragroup data protection agreements  - no agreements 
•	Higher exposure to local privacy laws. 
Regulated countries with significant exposure to fines and lawsuits (EU/EEA (GDPR) – high, USA (CCPA) – high, Brazil (LGPD) – medium, Russia (DPA) &amp; China ( Cybersecurity Law) – medium)
Frequent large organisational changes and M&amp;A
Lack of a Global Privacy Program, Strategy/Roadmap. Limited number of procedures</v>
          </cell>
          <cell r="BC9">
            <v>4</v>
          </cell>
          <cell r="BD9" t="str">
            <v>´- financial losses
- operational restrictions
- fines and sanctions
- negative press compromising company reputation and impacting negatively on stock price</v>
          </cell>
          <cell r="BE9">
            <v>4</v>
          </cell>
          <cell r="BF9">
            <v>16</v>
          </cell>
          <cell r="BG9" t="str">
            <v>high</v>
          </cell>
          <cell r="BH9" t="str">
            <v xml:space="preserve">´- Code of conduct and compliance policies and procedures
- Strengthen capability of compliance department
- Enhancement of global training and documentation of compliance matters
- Local employee crime insurances covering a few local markets (UK, US and a few others).
´- trainings and awareness campaigns
- Data classification and protection system
- Adoption of information security best practices, standards and frameworks
- privacy statements </v>
          </cell>
          <cell r="BJ9">
            <v>3</v>
          </cell>
          <cell r="BL9">
            <v>4</v>
          </cell>
          <cell r="BM9">
            <v>12</v>
          </cell>
          <cell r="BN9" t="str">
            <v>high</v>
          </cell>
          <cell r="BO9">
            <v>12</v>
          </cell>
          <cell r="BP9">
            <v>12</v>
          </cell>
          <cell r="BQ9" t="str">
            <v>Likely due to the geographies the company operates in which include countries with high risk of corruption (based on Transparency International Reports). Also the number of countries RHIM operates in directly reflects into the number of regulation we need to comply with. Risk has slightly increased likelihood due to increased local regulatory changes due to coronavirus.
Large amount of personal data:
•	Active data of employees (13k+) + former employees
•	lack of mapping of customers/vendors data, sensitive and obsolete data is a risk factor
Workers Councils generate Further scrutiny on internal compliance standards which might lead to Potential escalation with regulatory bodies, courts, etc. 
Cross-border data processing
•	Data localisation rules (Russia, China, etc.) – copy of data need to be local and then can be exported outside. China not current risk but we could be included into the law
•	Complex intragroup data protection agreements  - no agreements 
•	Higher exposure to local privacy laws. 
Regulated countries with significant exposure to fines and lawsuits (EU/EEA (GDPR) – high, USA (CCPA) – high, Brazil (LGPD) – medium, Russia (DPA) &amp; China ( Cybersecurity Law) – medium)
Frequent large organisational changes and M&amp;A
Lack of a Global Privacy Program, Strategy/Roadmap. Limited number of procedures</v>
          </cell>
          <cell r="BR9">
            <v>4</v>
          </cell>
          <cell r="BS9" t="str">
            <v>´- financial losses
- operational restrictions
- fines and sanctions
- negative press compromising company reputation and impacting negatively on stock price</v>
          </cell>
          <cell r="BT9">
            <v>4</v>
          </cell>
          <cell r="BU9">
            <v>16</v>
          </cell>
          <cell r="BV9" t="str">
            <v>high</v>
          </cell>
          <cell r="BW9" t="str">
            <v xml:space="preserve">´- Code of conduct and compliance policies and procedures
- Strengthen capability of compliance department
- Enhancement of global training and documentation of compliance matters
- Local employee crime insurances covering a few local markets (UK, US and a few others).
´- trainings and awareness campaigns
- Data classification and protection system
- Adoption of information security best practices, standards and frameworks
- privacy statements </v>
          </cell>
          <cell r="BY9">
            <v>3</v>
          </cell>
          <cell r="CA9">
            <v>4</v>
          </cell>
          <cell r="CB9">
            <v>12</v>
          </cell>
          <cell r="CC9" t="str">
            <v>high</v>
          </cell>
          <cell r="CD9">
            <v>12</v>
          </cell>
          <cell r="CE9">
            <v>12</v>
          </cell>
          <cell r="CF9" t="str">
            <v>Likely due to the geographies the company operates in which include countries with high risk of corruption (based on Transparency International Reports). Also the number of countries RHIM operates in directly reflects into the number of regulation we need to comply with. Risk has slightly increased likelihood due to increased local regulatory changes due to coronavirus.
Large amount of personal data:
•	Active data of employees (13k+) + former employees
•	lack of mapping of customers/vendors data, sensitive and obsolete data is a risk factor
Workers Councils generate Further scrutiny on internal compliance standards which might lead to Potential escalation with regulatory bodies, courts, etc. 
Cross-border data processing
•	Data localisation rules (Russia, China, etc.) – copy of data need to be local and then can be exported outside. China not current risk but we could be included into the law
•	Complex intragroup data protection agreements  - no agreements 
•	Higher exposure to local privacy laws. 
Regulated countries with significant exposure to fines and lawsuits (EU/EEA (GDPR) – high, USA (CCPA) – high, Brazil (LGPD) – medium, Russia (DPA) &amp; China ( Cybersecurity Law) – medium)
Frequent large organisational changes and M&amp;A
Lack of a Global Privacy Program, Strategy/Roadmap. Limited number of procedures</v>
          </cell>
          <cell r="CG9">
            <v>4</v>
          </cell>
          <cell r="CH9" t="str">
            <v>´- financial losses
- operational restrictions
- fines and sanctions
- negative press compromising company reputation and impacting negatively on stock price</v>
          </cell>
          <cell r="CI9">
            <v>4</v>
          </cell>
          <cell r="CJ9">
            <v>16</v>
          </cell>
          <cell r="CK9" t="str">
            <v>high</v>
          </cell>
          <cell r="CL9" t="str">
            <v xml:space="preserve">´- Code of conduct and compliance policies and procedures
- Strengthen capability of compliance department
- Enhancement of global training and documentation of compliance matters
- Local employee crime insurances covering a few local markets (UK, US and a few others).
´- trainings and awareness campaigns
- Data classification and protection system
- Adoption of information security best practices, standards and frameworks
- privacy statements </v>
          </cell>
          <cell r="CN9">
            <v>3</v>
          </cell>
          <cell r="CP9">
            <v>4</v>
          </cell>
          <cell r="CQ9">
            <v>12</v>
          </cell>
          <cell r="CR9" t="str">
            <v>high</v>
          </cell>
          <cell r="CS9">
            <v>0</v>
          </cell>
          <cell r="CT9">
            <v>0</v>
          </cell>
          <cell r="CU9" t="str">
            <v>Likely due to the geographies the company operates in which include countries with high risk of corruption (based on Transparency International Reports). Also the number of countries RHIM operates in directly reflects into the number of regulation we need to comply with. Risk has slightly increased likelihood due to increased local regulatory changes due to coronavirus</v>
          </cell>
          <cell r="CV9">
            <v>4</v>
          </cell>
          <cell r="CW9" t="str">
            <v>´- financial losses
- operational restrictions
- fines and sanctions
- negative press compromising company reputation and impacting negatively on stock price</v>
          </cell>
          <cell r="CX9">
            <v>4</v>
          </cell>
          <cell r="CY9">
            <v>16</v>
          </cell>
          <cell r="CZ9" t="str">
            <v>high</v>
          </cell>
          <cell r="DA9" t="str">
            <v xml:space="preserve">´- Code of conduct and compliance policies and procedures
- Strengthen capability of compliance department
- Enhancement of global training and documentation of compliance matters
- Local employee crime insurances covering a few local markets (UK, US and a few others).
´- trainings and awareness campaigns
- privacy statements </v>
          </cell>
          <cell r="DB9">
            <v>3</v>
          </cell>
          <cell r="DC9">
            <v>4</v>
          </cell>
          <cell r="DD9">
            <v>12</v>
          </cell>
          <cell r="DE9" t="str">
            <v>high</v>
          </cell>
          <cell r="DF9">
            <v>0</v>
          </cell>
          <cell r="DG9">
            <v>0</v>
          </cell>
          <cell r="DH9">
            <v>12</v>
          </cell>
          <cell r="DI9" t="str">
            <v>high</v>
          </cell>
          <cell r="DJ9" t="str">
            <v>I. Botha</v>
          </cell>
          <cell r="DK9" t="str">
            <v>Mark Filby</v>
          </cell>
          <cell r="DL9" t="str">
            <v>EMT</v>
          </cell>
          <cell r="DM9" t="str">
            <v>Audit Committee / BoD</v>
          </cell>
        </row>
        <row r="10">
          <cell r="A10">
            <v>5</v>
          </cell>
          <cell r="B10" t="str">
            <v>Financial Markets</v>
          </cell>
          <cell r="C10" t="str">
            <v xml:space="preserve">Increasing volatility and adverse movements in global financial markets (incl. FX, interest rates, energy prices, market capitalization, credit liquidity) </v>
          </cell>
          <cell r="D10" t="str">
            <v xml:space="preserve">12 -  Fluctuations in exchange rate and energy prices </v>
          </cell>
          <cell r="E10" t="str">
            <v>´- political and macroeconomic events impacting energy prices, FX rates
- speculative/unpredictable changes in FX rates
´- political and macroeconomic events impacting energy prices,  interest rates, external liquidity availability
- speculative/unpredictable changes in energy prices, interest rates</v>
          </cell>
          <cell r="F10" t="str">
            <v>Both</v>
          </cell>
          <cell r="G10" t="e">
            <v>#REF!</v>
          </cell>
          <cell r="H10" t="str">
            <v>High</v>
          </cell>
          <cell r="I10" t="str">
            <v>Significant movements in the global financial market crystallized</v>
          </cell>
          <cell r="J10">
            <v>5</v>
          </cell>
          <cell r="K10" t="str">
            <v>´- Company EBITDA or/and BS reduced by negative transaction, translation and operational effects of FX rates fluctuation
´- Higher costs of productions due to higher energy costs 
- Premium price to access external liquidity
- High interests rates could result in high interest costs</v>
          </cell>
          <cell r="L10">
            <v>4</v>
          </cell>
          <cell r="M10">
            <v>20</v>
          </cell>
          <cell r="N10" t="str">
            <v>critical</v>
          </cell>
          <cell r="O10" t="str">
            <v xml:space="preserve">´- Active balance sheet and exposure management to FX and interest rate.
'´- Active balance sheet and exposure management to interest rate. Exposure to floating interest rate is very limited.
- Optimization of energy cost management by a strategic combination between fixed price energy contracts and spot purchases.
- Strong liquidity position of the company (leverage below 3.5) doesn´t suggest need to access to external market liquidity in the upcoming months. </v>
          </cell>
          <cell r="P10" t="str">
            <v>likelihood reduced due to the financial markets recovery and overall economical stabilization</v>
          </cell>
          <cell r="Q10">
            <v>4</v>
          </cell>
          <cell r="S10">
            <v>3</v>
          </cell>
          <cell r="T10">
            <v>12</v>
          </cell>
          <cell r="U10" t="str">
            <v>high</v>
          </cell>
          <cell r="V10">
            <v>0</v>
          </cell>
          <cell r="W10">
            <v>0</v>
          </cell>
          <cell r="Y10">
            <v>5</v>
          </cell>
          <cell r="AA10">
            <v>4</v>
          </cell>
          <cell r="AB10">
            <v>20</v>
          </cell>
          <cell r="AC10" t="str">
            <v>critical</v>
          </cell>
          <cell r="AF10">
            <v>4</v>
          </cell>
          <cell r="AH10">
            <v>3</v>
          </cell>
          <cell r="AI10">
            <v>12</v>
          </cell>
          <cell r="AJ10" t="str">
            <v>high</v>
          </cell>
          <cell r="AK10">
            <v>0</v>
          </cell>
          <cell r="AL10">
            <v>0</v>
          </cell>
          <cell r="AM10" t="str">
            <v>Significant movements in the global financial market crystallized</v>
          </cell>
          <cell r="AN10">
            <v>5</v>
          </cell>
          <cell r="AO10" t="str">
            <v>´- Company EBITDA or/and BS reduced by negative transaction, translation and operational effects of FX rates fluctuation
´- Higher costs of productions due to higher energy costs 
- Premium price to access external liquidity
- High interests rates could result in high interest costs</v>
          </cell>
          <cell r="AP10">
            <v>4</v>
          </cell>
          <cell r="AQ10">
            <v>20</v>
          </cell>
          <cell r="AR10" t="str">
            <v>critical</v>
          </cell>
          <cell r="AS10" t="str">
            <v xml:space="preserve">´- Active balance sheet and exposure management to FX and interest rate.
'´- Active balance sheet and exposure management to interest rate. Exposure to floating interest rate is very limited.
- Optimization of energy cost management by a strategic combination between fixed price energy contracts and spot purchases.
- Strong liquidity position of the company (leverage below 3.5) doesn´t suggest need to access to external market liquidity in the upcoming months. </v>
          </cell>
          <cell r="AT10" t="str">
            <v>likelihood reduced due to the financial markets recovery and overall economical stabilization</v>
          </cell>
          <cell r="AU10">
            <v>4</v>
          </cell>
          <cell r="AW10">
            <v>3</v>
          </cell>
          <cell r="AX10">
            <v>12</v>
          </cell>
          <cell r="AY10" t="str">
            <v>high</v>
          </cell>
          <cell r="AZ10">
            <v>-3</v>
          </cell>
          <cell r="BA10">
            <v>-3</v>
          </cell>
          <cell r="BB10" t="str">
            <v>Significant movements in the global financial market crystallized</v>
          </cell>
          <cell r="BC10">
            <v>5</v>
          </cell>
          <cell r="BD10" t="str">
            <v>´- Company EBITDA or/and BS reduced by negative transaction, translation and operational effects of FX rates fluctuation
´- Higher costs of productions due to higher energy costs 
- Premium price to access external liquidity
- High interests rates could result in high interest costs</v>
          </cell>
          <cell r="BE10">
            <v>4</v>
          </cell>
          <cell r="BF10">
            <v>20</v>
          </cell>
          <cell r="BG10" t="str">
            <v>critical</v>
          </cell>
          <cell r="BH10" t="str">
            <v xml:space="preserve">´- Active balance sheet and exposure management to FX and interest rate.
'´- Active balance sheet and exposure management to interest rate. Exposure to floating interest rate is very limited.
- Optimization of energy cost management by a strategic combination between fixed price energy contracts and spot purchases.
- Strong liquidity position of the company (leverage below 3.5) doesn´t suggest need to access to external market liquidity in the upcoming months. </v>
          </cell>
          <cell r="BJ10">
            <v>5</v>
          </cell>
          <cell r="BL10">
            <v>3</v>
          </cell>
          <cell r="BM10">
            <v>15</v>
          </cell>
          <cell r="BN10" t="str">
            <v>high</v>
          </cell>
          <cell r="BO10">
            <v>15</v>
          </cell>
          <cell r="BP10">
            <v>15</v>
          </cell>
          <cell r="BQ10" t="str">
            <v>Significant movements in the global financial market crystallized</v>
          </cell>
          <cell r="BR10">
            <v>5</v>
          </cell>
          <cell r="BS10" t="str">
            <v>´- Company EBITDA or/and BS reduced by negative transaction, translation and operational effects of FX rates fluctuation
´- Higher costs of productions due to higher energy costs 
- Premium price to access external liquidity
- High interests rates could result in high interest costs</v>
          </cell>
          <cell r="BT10">
            <v>4</v>
          </cell>
          <cell r="BU10">
            <v>20</v>
          </cell>
          <cell r="BV10" t="str">
            <v>critical</v>
          </cell>
          <cell r="BW10" t="str">
            <v xml:space="preserve">´- Active balance sheet and exposure management to FX and interest rate.
'´- Active balance sheet and exposure management to interest rate. Exposure to floating interest rate is very limited.
- Optimization of energy cost management by a strategic combination between fixed price energy contracts and spot purchases.
- Strong liquidity position of the company (leverage below 3.5) doesn´t suggest need to access to external market liquidity in the upcoming months. </v>
          </cell>
          <cell r="BY10">
            <v>5</v>
          </cell>
          <cell r="CA10">
            <v>3</v>
          </cell>
          <cell r="CB10">
            <v>15</v>
          </cell>
          <cell r="CC10" t="str">
            <v>high</v>
          </cell>
          <cell r="CD10">
            <v>15</v>
          </cell>
          <cell r="CE10">
            <v>15</v>
          </cell>
          <cell r="CF10" t="str">
            <v>Significant movements in the global financial market crystallized</v>
          </cell>
          <cell r="CG10">
            <v>5</v>
          </cell>
          <cell r="CH10" t="str">
            <v>´- Company EBITDA or/and BS reduced by negative transaction, translation and operational effects of FX rates fluctuation
´- Higher costs of productions due to higher energy costs 
- Premium price to access external liquidity
- High interests rates could result in high interest costs</v>
          </cell>
          <cell r="CI10">
            <v>4</v>
          </cell>
          <cell r="CJ10">
            <v>20</v>
          </cell>
          <cell r="CK10" t="str">
            <v>critical</v>
          </cell>
          <cell r="CL10" t="str">
            <v xml:space="preserve">´- Active balance sheet and exposure management to FX and interest rate.
'´- Active balance sheet and exposure management to interest rate. Exposure to floating interest rate is very limited.
- Optimization of energy cost management by a strategic combination between fixed price energy contracts and spot purchases.
- Strong liquidity position of the company (leverage below 3.5) doesn´t suggest need to access to external market liquidity in the upcoming months. </v>
          </cell>
          <cell r="CN10">
            <v>5</v>
          </cell>
          <cell r="CP10">
            <v>3</v>
          </cell>
          <cell r="CQ10">
            <v>15</v>
          </cell>
          <cell r="CR10" t="str">
            <v>high</v>
          </cell>
          <cell r="CS10">
            <v>0</v>
          </cell>
          <cell r="CT10">
            <v>0</v>
          </cell>
          <cell r="CU10" t="str">
            <v>Significant movements in the global financial market crystallized</v>
          </cell>
          <cell r="CV10">
            <v>5</v>
          </cell>
          <cell r="CW10" t="str">
            <v>´- Company EBITDA or/and BS reduced by negative transaction, translation and operational effects of FX rates fluctuation
´- Higher costs of productions due to higher energy costs 
- Premium price to access external liquidity
- High interests rates could result in high interest costs</v>
          </cell>
          <cell r="CX10">
            <v>4</v>
          </cell>
          <cell r="CY10">
            <v>20</v>
          </cell>
          <cell r="CZ10" t="str">
            <v>critical</v>
          </cell>
          <cell r="DA10" t="str">
            <v xml:space="preserve">´- Active balance sheet and exposure management to FX and interest rate.
'´- Active balance sheet and exposure management to interest rate. Exposure to floating interest rate is very limited.
- Optimization of energy cost management by a strategic combination between fixed price energy contracts and spot purchases.
- Strong liquidity position of the company (leverage below 3.5) doesn´t suggest need to access to external market liquidity in the upcoming months. </v>
          </cell>
          <cell r="DB10">
            <v>5</v>
          </cell>
          <cell r="DC10">
            <v>3</v>
          </cell>
          <cell r="DD10">
            <v>15</v>
          </cell>
          <cell r="DE10" t="str">
            <v>high</v>
          </cell>
          <cell r="DF10">
            <v>6</v>
          </cell>
          <cell r="DG10">
            <v>6</v>
          </cell>
          <cell r="DH10">
            <v>9</v>
          </cell>
          <cell r="DI10" t="str">
            <v>medium</v>
          </cell>
          <cell r="DJ10" t="str">
            <v>I. Botha</v>
          </cell>
          <cell r="DK10" t="str">
            <v>Felix Warmuth</v>
          </cell>
          <cell r="DL10" t="str">
            <v>EMT</v>
          </cell>
          <cell r="DM10" t="str">
            <v>Audit Committee / BoD</v>
          </cell>
        </row>
        <row r="11">
          <cell r="A11">
            <v>6</v>
          </cell>
          <cell r="B11" t="str">
            <v xml:space="preserve">Competitiveness of internally produced raw material </v>
          </cell>
          <cell r="C11" t="str">
            <v xml:space="preserve">Lack of competitiveness of internally sourced raw materials (magnesia).  </v>
          </cell>
          <cell r="D11" t="str">
            <v>2 - Lack of competitiveness of internally sourced raw materials.</v>
          </cell>
          <cell r="E11" t="str">
            <v>´- increase in raw material supply/decrease in RM demand
- political and macroeconomic events impacting the raw material prices</v>
          </cell>
          <cell r="F11" t="str">
            <v>Both</v>
          </cell>
          <cell r="G11" t="e">
            <v>#REF!</v>
          </cell>
          <cell r="H11" t="str">
            <v>High</v>
          </cell>
          <cell r="I11" t="str">
            <v xml:space="preserve">Already crystallized: trend of softness of raw material prices has been ongoing since Q2 2018. </v>
          </cell>
          <cell r="J11">
            <v>4</v>
          </cell>
          <cell r="K11" t="str">
            <v>´- full backward integration margin erosion could have very significant financial and competitive impact
- margin erosion due to reduced selling price (customers asking for discounts following raw material price reduction)</v>
          </cell>
          <cell r="L11">
            <v>5</v>
          </cell>
          <cell r="M11">
            <v>20</v>
          </cell>
          <cell r="N11" t="str">
            <v>critical</v>
          </cell>
          <cell r="O11" t="str">
            <v>´- Developing a more agile business with lower fixed cost base and integrated business planning
- Initiatives to optimize decisions of RM purchase vs internal production and minimize overall impact on margin (e.g. reducing FM production)
- Customer negotiations on sales price to limit sales price reductions</v>
          </cell>
          <cell r="P11" t="str">
            <v>likelihood reduced following exiting from FM backward integration and rising raw material prices</v>
          </cell>
          <cell r="Q11">
            <v>2</v>
          </cell>
          <cell r="S11">
            <v>5</v>
          </cell>
          <cell r="T11">
            <v>10</v>
          </cell>
          <cell r="U11" t="str">
            <v>medium</v>
          </cell>
          <cell r="V11">
            <v>0</v>
          </cell>
          <cell r="W11">
            <v>0</v>
          </cell>
          <cell r="Y11">
            <v>4</v>
          </cell>
          <cell r="AA11">
            <v>5</v>
          </cell>
          <cell r="AB11">
            <v>20</v>
          </cell>
          <cell r="AC11" t="str">
            <v>critical</v>
          </cell>
          <cell r="AF11">
            <v>2</v>
          </cell>
          <cell r="AH11">
            <v>5</v>
          </cell>
          <cell r="AI11">
            <v>10</v>
          </cell>
          <cell r="AJ11" t="str">
            <v>medium</v>
          </cell>
          <cell r="AK11">
            <v>0</v>
          </cell>
          <cell r="AL11">
            <v>0</v>
          </cell>
          <cell r="AM11" t="str">
            <v xml:space="preserve">Already crystallized: trend of softness of raw material prices has been ongoing since Q2 2018. </v>
          </cell>
          <cell r="AN11">
            <v>4</v>
          </cell>
          <cell r="AO11" t="str">
            <v>´- full backward integration margin erosion could have very significant financial and competitive impact
- margin erosion due to reduced selling price (customers asking for discounts following raw material price reduction)</v>
          </cell>
          <cell r="AP11">
            <v>5</v>
          </cell>
          <cell r="AQ11">
            <v>20</v>
          </cell>
          <cell r="AR11" t="str">
            <v>critical</v>
          </cell>
          <cell r="AS11" t="str">
            <v>´- Developing a more agile business with lower fixed cost base and integrated business planning
- Initiatives to optimize decisions of RM purchase vs internal production and minimize overall impact on margin (e.g. reducing FM production)
- Customer negotiations on sales price to limit sales price reductions</v>
          </cell>
          <cell r="AT11" t="str">
            <v>likelihood reduced following exiting from FM backward integration and rising raw material prices</v>
          </cell>
          <cell r="AU11">
            <v>2</v>
          </cell>
          <cell r="AW11">
            <v>5</v>
          </cell>
          <cell r="AX11">
            <v>10</v>
          </cell>
          <cell r="AY11" t="str">
            <v>medium</v>
          </cell>
          <cell r="AZ11">
            <v>-5</v>
          </cell>
          <cell r="BA11">
            <v>-5</v>
          </cell>
          <cell r="BB11" t="str">
            <v xml:space="preserve">Already crystallized: trend of softness of raw material prices has been ongoing since Q2 2018. </v>
          </cell>
          <cell r="BC11">
            <v>4</v>
          </cell>
          <cell r="BD11" t="str">
            <v>´- full backward integration margin erosion could have very significant financial and competitive impact
- margin erosion due to reduced selling price (customers asking for discounts following raw material price reduction)</v>
          </cell>
          <cell r="BE11">
            <v>5</v>
          </cell>
          <cell r="BF11">
            <v>20</v>
          </cell>
          <cell r="BG11" t="str">
            <v>critical</v>
          </cell>
          <cell r="BH11" t="str">
            <v>´- Developing a more agile business with lower fixed cost base and integrated business planning
- Initiatives to optimize decisions of RM purchase vs internal production and minimize overall impact on margin (e.g. reducing FM production)
- Customer negotiations on sales price to limit sales price reductions</v>
          </cell>
          <cell r="BJ11">
            <v>3</v>
          </cell>
          <cell r="BL11">
            <v>5</v>
          </cell>
          <cell r="BM11">
            <v>15</v>
          </cell>
          <cell r="BN11" t="str">
            <v>high</v>
          </cell>
          <cell r="BO11">
            <v>15</v>
          </cell>
          <cell r="BP11">
            <v>15</v>
          </cell>
          <cell r="BQ11" t="str">
            <v xml:space="preserve">Already crystallized: trend of softness of raw material prices has been ongoing since Q2 2018. </v>
          </cell>
          <cell r="BR11">
            <v>4</v>
          </cell>
          <cell r="BS11" t="str">
            <v>´- full backward integration margin erosion could have very significant financial and competitive impact
- margin erosion due to reduced selling price (customers asking for discounts following raw material price reduction)</v>
          </cell>
          <cell r="BT11">
            <v>5</v>
          </cell>
          <cell r="BU11">
            <v>20</v>
          </cell>
          <cell r="BV11" t="str">
            <v>critical</v>
          </cell>
          <cell r="BW11" t="str">
            <v>´- Developing a more agile business with lower fixed cost base and integrated business planning
- Initiatives to optimize decisions of RM purchase vs internal production and minimize overall impact on margin (e.g. reducing FM production)
- Customer negotiations on sales price to limit sales price reductions</v>
          </cell>
          <cell r="BY11">
            <v>3</v>
          </cell>
          <cell r="CA11">
            <v>5</v>
          </cell>
          <cell r="CB11">
            <v>15</v>
          </cell>
          <cell r="CC11" t="str">
            <v>high</v>
          </cell>
          <cell r="CD11">
            <v>15</v>
          </cell>
          <cell r="CE11">
            <v>15</v>
          </cell>
          <cell r="CF11" t="str">
            <v xml:space="preserve">Already crystallized: trend of softness of raw material prices has been ongoing since Q2 2018. </v>
          </cell>
          <cell r="CG11">
            <v>4</v>
          </cell>
          <cell r="CH11" t="str">
            <v>´- full backward integration margin erosion could have very significant financial and competitive impact
- margin erosion due to reduced selling price (customers asking for discounts following raw material price reduction)</v>
          </cell>
          <cell r="CI11">
            <v>5</v>
          </cell>
          <cell r="CJ11">
            <v>20</v>
          </cell>
          <cell r="CK11" t="str">
            <v>critical</v>
          </cell>
          <cell r="CL11" t="str">
            <v>´- Developing a more agile business with lower fixed cost base and integrated business planning
- Initiatives to optimize decisions of RM purchase vs internal production and minimize overall impact on margin (e.g. reducing FM production)
- Customer negotiations on sales price to limit sales price reductions</v>
          </cell>
          <cell r="CN11">
            <v>3</v>
          </cell>
          <cell r="CP11">
            <v>5</v>
          </cell>
          <cell r="CQ11">
            <v>15</v>
          </cell>
          <cell r="CR11" t="str">
            <v>high</v>
          </cell>
          <cell r="CS11">
            <v>0</v>
          </cell>
          <cell r="CT11">
            <v>0</v>
          </cell>
          <cell r="CU11" t="str">
            <v xml:space="preserve">Already crystallized: trend of softness of raw material prices has been ongoing since Q2 2018. </v>
          </cell>
          <cell r="CV11">
            <v>4</v>
          </cell>
          <cell r="CW11" t="str">
            <v>´- full backward integration margin erosion could have very significant financial and competitive impact
- margin erosion due to reduced selling price (customers asking for discounts following raw material price reduction)</v>
          </cell>
          <cell r="CX11">
            <v>5</v>
          </cell>
          <cell r="CY11">
            <v>20</v>
          </cell>
          <cell r="CZ11" t="str">
            <v>critical</v>
          </cell>
          <cell r="DA11" t="str">
            <v>´- Developing a more agile business with lower fixed cost base and integrated business planning
- Initiatives to optimize decisions of RM purchase vs internal production and minimize overall impact on margin (e.g. reducing FM production)
- Customer negotiations on sales price to limit sales price reductions</v>
          </cell>
          <cell r="DB11">
            <v>3</v>
          </cell>
          <cell r="DC11">
            <v>5</v>
          </cell>
          <cell r="DD11">
            <v>15</v>
          </cell>
          <cell r="DE11" t="str">
            <v>high</v>
          </cell>
          <cell r="DF11">
            <v>0</v>
          </cell>
          <cell r="DG11">
            <v>0</v>
          </cell>
          <cell r="DH11">
            <v>15</v>
          </cell>
          <cell r="DI11" t="str">
            <v>high</v>
          </cell>
          <cell r="DJ11" t="str">
            <v>R. Jayendran</v>
          </cell>
          <cell r="DK11" t="str">
            <v>Operations leaders/SCM</v>
          </cell>
          <cell r="DL11" t="str">
            <v>Raw Material Committee/EMT</v>
          </cell>
          <cell r="DM11" t="str">
            <v>BoD</v>
          </cell>
        </row>
        <row r="12">
          <cell r="A12">
            <v>7</v>
          </cell>
          <cell r="B12" t="str">
            <v>IT process interruptions/Cyber &amp; Information Security</v>
          </cell>
          <cell r="C12" t="str">
            <v xml:space="preserve">Critical IT business process interruption (incl. cyber attack) and Information Security risk, company secrets and insider information) </v>
          </cell>
          <cell r="D12" t="str">
            <v>9 - Cyber and information security risk</v>
          </cell>
          <cell r="E12" t="str">
            <v>´- cyber attack
- failure of IT critical suppliers 
-  inadequate physical security (detection, prevention)  
- unknown logical access to critical infrastructure
- employees behaviour</v>
          </cell>
          <cell r="F12" t="str">
            <v>Both</v>
          </cell>
          <cell r="G12" t="e">
            <v>#REF!</v>
          </cell>
          <cell r="H12" t="str">
            <v>Very High</v>
          </cell>
          <cell r="I12" t="str">
            <v>increased likelihood of this risk materializing due to increased likelihood of cyberattack during the  Coronavirus crisis</v>
          </cell>
          <cell r="J12">
            <v>4</v>
          </cell>
          <cell r="K12" t="str">
            <v>´- operational disruptions, 
- loss of company data, 
- financial losses due to frauds, 
- significant reputation losses</v>
          </cell>
          <cell r="L12">
            <v>4</v>
          </cell>
          <cell r="M12">
            <v>16</v>
          </cell>
          <cell r="N12" t="str">
            <v>high</v>
          </cell>
          <cell r="O12" t="str">
            <v xml:space="preserve">´- Dedicated Information Security Organisation with capability regularly re-assessed against threat level
- Global Information and Cyber Security Policies
- Continuous awareness campaign and training
- Annual risk assessment and penetration testing
- Cyber security detection and response team
- Data classification and protection implementation
- Adoption of information security best practices, standards and frameworks
- Active cyberattack monitoring (and stopping) went live in oct 2020
- Cyber insurance to reduce impact (cover up to 25 million with excess of 250K) summer 2020. This policy covers for losses and fines (under GDPR and others) caused by data breaches because of cyberattacks or physical IT assets failure.  It also covers losses due to business interruption caused by physical IT failures.  </v>
          </cell>
          <cell r="P12" t="str">
            <v>likelihood is decreasing due to increased internal controls to prevent cybersecuroity attacks</v>
          </cell>
          <cell r="Q12">
            <v>3</v>
          </cell>
          <cell r="R12" t="str">
            <v>Impact raised to reflect the significance of the potential impact of an IT interruption or cyberattack (e.g. ransomware)</v>
          </cell>
          <cell r="S12">
            <v>4</v>
          </cell>
          <cell r="T12">
            <v>12</v>
          </cell>
          <cell r="U12" t="str">
            <v>high</v>
          </cell>
          <cell r="V12">
            <v>0</v>
          </cell>
          <cell r="W12">
            <v>0</v>
          </cell>
          <cell r="Y12">
            <v>4</v>
          </cell>
          <cell r="AA12">
            <v>4</v>
          </cell>
          <cell r="AB12">
            <v>16</v>
          </cell>
          <cell r="AC12" t="str">
            <v>high</v>
          </cell>
          <cell r="AD12" t="str">
            <v>Impact and likelihood adjusted to reflect current change in cybercrime landscape</v>
          </cell>
          <cell r="AE12" t="str">
            <v>Likelihood is reduced due to good technical controls</v>
          </cell>
          <cell r="AF12">
            <v>3</v>
          </cell>
          <cell r="AG12" t="str">
            <v>Impact raised to reflect the significance of the potential impact of an IT interruption or cyberattack (e.g. ransomware)</v>
          </cell>
          <cell r="AH12">
            <v>4</v>
          </cell>
          <cell r="AI12">
            <v>12</v>
          </cell>
          <cell r="AJ12" t="str">
            <v>high</v>
          </cell>
          <cell r="AK12">
            <v>0</v>
          </cell>
          <cell r="AL12">
            <v>0</v>
          </cell>
          <cell r="AM12" t="str">
            <v>increased likelihood of this risk materializing due to increased likelihood of cyberattack during the  Coronavirus crisis</v>
          </cell>
          <cell r="AN12">
            <v>4</v>
          </cell>
          <cell r="AO12" t="str">
            <v>´- operational disruptions, 
- loss of company data, 
- financial losses due to frauds, 
- significant reputation losses</v>
          </cell>
          <cell r="AP12">
            <v>4</v>
          </cell>
          <cell r="AQ12">
            <v>16</v>
          </cell>
          <cell r="AR12" t="str">
            <v>high</v>
          </cell>
          <cell r="AS12" t="str">
            <v xml:space="preserve">´- Dedicated Information Security Organisation with capability regularly re-assessed against threat level
- Global Information and Cyber Security Policies
- Continuous awareness campaign and training
- Annual risk assessment and penetration testing
- Cyber security detection and response team
- Data classification and protection implementation
- Adoption of information security best practices, standards and frameworks
- Active cyberattack monitoring (and stopping) went live in oct 2020
- Cyber insurance to reduce impact (cover up to 25 million with excess of 250K) summer 2020. This policy covers for losses and fines (under GDPR and others) caused by data breaches because of cyberattacks or physical IT assets failure.  It also covers losses due to business interruption caused by physical IT failures.  </v>
          </cell>
          <cell r="AU12">
            <v>4</v>
          </cell>
          <cell r="AW12">
            <v>3</v>
          </cell>
          <cell r="AX12">
            <v>12</v>
          </cell>
          <cell r="AY12" t="str">
            <v>high</v>
          </cell>
          <cell r="AZ12">
            <v>0</v>
          </cell>
          <cell r="BA12">
            <v>0</v>
          </cell>
          <cell r="BB12" t="str">
            <v>increased likelihood of this risk materializing due to increased likelihood of cyberattack during the  Coronavirus crisis</v>
          </cell>
          <cell r="BC12">
            <v>4</v>
          </cell>
          <cell r="BD12" t="str">
            <v>´- operational disruptions, 
- loss of company data, 
- financial losses due to frauds, 
- significant reputation losses</v>
          </cell>
          <cell r="BE12">
            <v>4</v>
          </cell>
          <cell r="BF12">
            <v>16</v>
          </cell>
          <cell r="BG12" t="str">
            <v>high</v>
          </cell>
          <cell r="BH12" t="str">
            <v xml:space="preserve">´- Dedicated Information Security Organisation with capability regularly re-assessed against threat level
- Global Information and Cyber Security Policies
- Continuous awareness campaign and training
- Annual risk assessment and penetration testing
- Cyber security detection and response team
- Data classification and protection implementation
- Adoption of information security best practices, standards and frameworks
- Active cyberattack monitoring (and stopping) went live in oct 2020
- Cyber insurance to reduce impact (cover up to 25 million with excess of 250K) summer 2020. This policy covers for losses and fines (under GDPR and others) caused by data breaches because of cyberattacks or physical IT assets failure.  It also covers losses due to business interruption caused by physical IT failures.  </v>
          </cell>
          <cell r="BJ12">
            <v>4</v>
          </cell>
          <cell r="BL12">
            <v>3</v>
          </cell>
          <cell r="BM12">
            <v>12</v>
          </cell>
          <cell r="BN12" t="str">
            <v>high</v>
          </cell>
          <cell r="BO12">
            <v>12</v>
          </cell>
          <cell r="BP12">
            <v>12</v>
          </cell>
          <cell r="BQ12" t="str">
            <v>increased likelihood of this risk materializing due to increased likelihood of cyberattack during the  Coronavirus crisis</v>
          </cell>
          <cell r="BR12">
            <v>4</v>
          </cell>
          <cell r="BS12" t="str">
            <v>´- operational disruptions, 
- loss of company data, 
- financial losses due to frauds, 
- significant reputation losses</v>
          </cell>
          <cell r="BT12">
            <v>4</v>
          </cell>
          <cell r="BU12">
            <v>16</v>
          </cell>
          <cell r="BV12" t="str">
            <v>high</v>
          </cell>
          <cell r="BW12" t="str">
            <v>´- Dedicated Information Security Organisation with capability regularly re-assessed against threat level
- Global Information and Cyber Security Policies
- Continuous awareness campaign and training
- Annual risk assessment and penetration testing
- Cyber security detection and response team
- Data classification and protection implementation
- Adoption of information security best practices, standards and frameworks</v>
          </cell>
          <cell r="BY12">
            <v>4</v>
          </cell>
          <cell r="CA12">
            <v>3</v>
          </cell>
          <cell r="CB12">
            <v>12</v>
          </cell>
          <cell r="CC12" t="str">
            <v>high</v>
          </cell>
          <cell r="CD12">
            <v>12</v>
          </cell>
          <cell r="CE12">
            <v>12</v>
          </cell>
          <cell r="CF12" t="str">
            <v>increased likelihood of this risk materializing due to increased likelihood of cyberattack during the  Coronavirus crisis</v>
          </cell>
          <cell r="CG12">
            <v>4</v>
          </cell>
          <cell r="CH12" t="str">
            <v>´- operational disruptions, 
- loss of company data, 
- financial losses due to frauds, 
- significant reputation losses</v>
          </cell>
          <cell r="CI12">
            <v>4</v>
          </cell>
          <cell r="CJ12">
            <v>16</v>
          </cell>
          <cell r="CK12" t="str">
            <v>high</v>
          </cell>
          <cell r="CL12" t="str">
            <v>´- Dedicated Information Security Organisation with capability regularly re-assessed against threat level
- Global Information and Cyber Security Policies
- Continuous awareness campaign and training
- Annual risk assessment and penetration testing
- Cyber security detection and response team
- Data classification and protection implementation
- Adoption of information security best practices, standards and frameworks</v>
          </cell>
          <cell r="CN12">
            <v>4</v>
          </cell>
          <cell r="CP12">
            <v>3</v>
          </cell>
          <cell r="CQ12">
            <v>12</v>
          </cell>
          <cell r="CR12" t="str">
            <v>high</v>
          </cell>
          <cell r="CS12">
            <v>0</v>
          </cell>
          <cell r="CT12">
            <v>0</v>
          </cell>
          <cell r="CU12" t="str">
            <v>increased likelihood of this risk materializing due to increased likelihood of cyberattack during the  Coronavirus crisis</v>
          </cell>
          <cell r="CV12">
            <v>4</v>
          </cell>
          <cell r="CW12" t="str">
            <v>´- operational disruptions, 
- loss of company data, 
- financial losses due to frauds, 
- significant reputation losses</v>
          </cell>
          <cell r="CX12">
            <v>4</v>
          </cell>
          <cell r="CY12">
            <v>16</v>
          </cell>
          <cell r="CZ12" t="str">
            <v>high</v>
          </cell>
          <cell r="DA12" t="str">
            <v>´- Dedicated Information Security Organisation with capability regularly re-assessed against threat level
- Global Information and Cyber Security Policies
- Continuous awareness campaign and training
- Annual risk assessment and penetration testing
- Cyber security detection and response team
- Data classification and protection implementation
- Adoption of information security best practices, standards and frameworks</v>
          </cell>
          <cell r="DB12">
            <v>4</v>
          </cell>
          <cell r="DC12">
            <v>3</v>
          </cell>
          <cell r="DD12">
            <v>12</v>
          </cell>
          <cell r="DE12" t="str">
            <v>high</v>
          </cell>
          <cell r="DF12">
            <v>3</v>
          </cell>
          <cell r="DG12">
            <v>3</v>
          </cell>
          <cell r="DH12">
            <v>9</v>
          </cell>
          <cell r="DI12" t="str">
            <v>medium</v>
          </cell>
          <cell r="DJ12" t="str">
            <v>I. Botha</v>
          </cell>
          <cell r="DK12" t="str">
            <v>Alexander Schillinger</v>
          </cell>
          <cell r="DL12" t="str">
            <v>IT Management Committee</v>
          </cell>
          <cell r="DM12" t="str">
            <v>Audit Committee / BoD</v>
          </cell>
        </row>
        <row r="13">
          <cell r="A13">
            <v>8</v>
          </cell>
          <cell r="B13" t="str">
            <v>Realising the value from digitalization strategy (sales, operation and supply chain)</v>
          </cell>
          <cell r="C13" t="str">
            <v>Impact of digitalization on brand, reputation, business model... / digital effectiveness and ability to implement digitalization initiatives.</v>
          </cell>
          <cell r="D13" t="str">
            <v>4 - Significant changes in the competitive environment or speed of disruptive innovation</v>
          </cell>
          <cell r="E13" t="str">
            <v>´- Failure in identification of digitalization trends and technologies
- Lack of skills
- Delays in delivering digitalization projects
- Lack of digital strategy</v>
          </cell>
          <cell r="F13" t="str">
            <v>Internal</v>
          </cell>
          <cell r="G13" t="e">
            <v>#REF!</v>
          </cell>
          <cell r="H13" t="str">
            <v>Low</v>
          </cell>
          <cell r="I13" t="str">
            <v>Increased focus on digitalization from the customers as a consequence of COVID. Forecasted global acceleration in digitalization</v>
          </cell>
          <cell r="J13">
            <v>3</v>
          </cell>
          <cell r="K13" t="str">
            <v xml:space="preserve">´- Erosion of brand image (driving force)
- Loss of sales volume/customers 
- Erosion of competitive position 
- Inability to reduce costs
- Operational inefficiencies 
</v>
          </cell>
          <cell r="L13">
            <v>5</v>
          </cell>
          <cell r="M13">
            <v>15</v>
          </cell>
          <cell r="N13" t="str">
            <v>high</v>
          </cell>
          <cell r="O13" t="str">
            <v>´- Create a climate allowing innovation and “out of the box” thinking 
- investments in digitalization projects to bring disruptive products/services on the market
- Digital Board to monitor digital developments
- Project Beyond as digital accelerator</v>
          </cell>
          <cell r="P13" t="str">
            <v>uncertainty on whether digital will create a tangible competitive advantage. We are in a great position to lead the industry (e.g. we have the capital to invest, etc) and we are moving in the right direction. Operational digitalization is moving on as planned (except for MES) but sales digitalization is progressing from an internal tool persepctive but not in terms of selling digital products</v>
          </cell>
          <cell r="Q13">
            <v>2</v>
          </cell>
          <cell r="R13" t="str">
            <v xml:space="preserve">´- Erosion of brand image (driving force)
- Loss of sales volume/customers 
- Erosion of competitive position 
- Inability to reduce costs
- Operational inefficiencies 
</v>
          </cell>
          <cell r="S13">
            <v>5</v>
          </cell>
          <cell r="T13">
            <v>10</v>
          </cell>
          <cell r="U13" t="str">
            <v>medium</v>
          </cell>
          <cell r="V13">
            <v>0</v>
          </cell>
          <cell r="W13">
            <v>0</v>
          </cell>
          <cell r="Y13">
            <v>5</v>
          </cell>
          <cell r="AA13">
            <v>5</v>
          </cell>
          <cell r="AB13">
            <v>25</v>
          </cell>
          <cell r="AC13" t="str">
            <v>critical</v>
          </cell>
          <cell r="AD13" t="str">
            <v>Infrastructure for digital implementation was built to a large extend and digital/automation projects to reduce costs are on track</v>
          </cell>
          <cell r="AE13" t="str">
            <v>The infrastructure for digital implementation was built to a larg extend and digital/automation projects to reduce costs are on track</v>
          </cell>
          <cell r="AF13">
            <v>2</v>
          </cell>
          <cell r="AH13">
            <v>5</v>
          </cell>
          <cell r="AI13">
            <v>10</v>
          </cell>
          <cell r="AJ13" t="str">
            <v>medium</v>
          </cell>
          <cell r="AK13">
            <v>-5</v>
          </cell>
          <cell r="AL13">
            <v>-5</v>
          </cell>
          <cell r="AM13" t="str">
            <v>Increased focus on digitalization from the customers as a consequence of COVID. Forecasted global acceleration in digitalization</v>
          </cell>
          <cell r="AN13">
            <v>5</v>
          </cell>
          <cell r="AO13" t="str">
            <v xml:space="preserve">´- Erosion of brand image (driving force)
- Loss of sales volume/customers 
- Erosion of competitive position 
- Inability to reduce costs
- Operational inefficiencies 
</v>
          </cell>
          <cell r="AP13">
            <v>5</v>
          </cell>
          <cell r="AQ13">
            <v>25</v>
          </cell>
          <cell r="AR13" t="str">
            <v>critical</v>
          </cell>
          <cell r="AS13" t="str">
            <v>´- Create a climate allowing innovation and “out of the box” thinking 
- investments in digitalization projects to bring disruptive products/services on the market
- Digital Board to monitor digital developments
- Project immunity should deliver digitalization from August 2020</v>
          </cell>
          <cell r="AU13">
            <v>3</v>
          </cell>
          <cell r="AW13">
            <v>5</v>
          </cell>
          <cell r="AX13">
            <v>15</v>
          </cell>
          <cell r="AY13" t="str">
            <v>high</v>
          </cell>
          <cell r="AZ13">
            <v>0</v>
          </cell>
          <cell r="BA13">
            <v>0</v>
          </cell>
          <cell r="BB13" t="str">
            <v>Increased focus on digitalization from the customers as a consequence of COVID. Forecasted global acceleration in digitalization</v>
          </cell>
          <cell r="BC13">
            <v>5</v>
          </cell>
          <cell r="BD13" t="str">
            <v xml:space="preserve">´- Erosion of brand image (driving force)
- Loss of sales volume/customers 
- Erosion of competitive position 
- Inability to reduce costs
- Operational inefficiencies 
</v>
          </cell>
          <cell r="BE13">
            <v>5</v>
          </cell>
          <cell r="BF13">
            <v>25</v>
          </cell>
          <cell r="BG13" t="str">
            <v>critical</v>
          </cell>
          <cell r="BH13" t="str">
            <v>´- Create a climate allowing innovation and “out of the box” thinking 
- investments in digitalization projects to bring disruptive products/services on the market
- Digital Board to monitor digital developments
- Project immunity should deliver digitalization from August 2020</v>
          </cell>
          <cell r="BJ13">
            <v>3</v>
          </cell>
          <cell r="BL13">
            <v>5</v>
          </cell>
          <cell r="BM13">
            <v>15</v>
          </cell>
          <cell r="BN13" t="str">
            <v>high</v>
          </cell>
          <cell r="BO13">
            <v>15</v>
          </cell>
          <cell r="BP13">
            <v>15</v>
          </cell>
          <cell r="BQ13" t="str">
            <v>Increased focus on digitalization from the customers as a consequence of COVID. Forecasted global acceleration in digitalization</v>
          </cell>
          <cell r="BR13">
            <v>5</v>
          </cell>
          <cell r="BS13" t="str">
            <v xml:space="preserve">´- Erosion of brand image (driving force)
- Loss of sales volume/customers 
- Erosion of competitive position 
- Inability to reduce costs
- Operational inefficiencies 
</v>
          </cell>
          <cell r="BT13">
            <v>5</v>
          </cell>
          <cell r="BU13">
            <v>25</v>
          </cell>
          <cell r="BV13" t="str">
            <v>critical</v>
          </cell>
          <cell r="BW13" t="str">
            <v>´- Create a climate allowing innovation and “out of the box” thinking 
- investments in digitalization projects to bring disruptive products/services on the market
- Digital Board to monitor digital developments
- Project immunity should deliver digitalization from August 2020</v>
          </cell>
          <cell r="BY13">
            <v>3</v>
          </cell>
          <cell r="CA13">
            <v>4</v>
          </cell>
          <cell r="CB13">
            <v>12</v>
          </cell>
          <cell r="CC13" t="str">
            <v>high</v>
          </cell>
          <cell r="CD13">
            <v>12</v>
          </cell>
          <cell r="CE13">
            <v>12</v>
          </cell>
          <cell r="CF13" t="str">
            <v>Increased focus on digitalization from the customers as a consequence of COVID. Forecasted global acceleration in digitalization</v>
          </cell>
          <cell r="CG13">
            <v>5</v>
          </cell>
          <cell r="CH13" t="str">
            <v xml:space="preserve">´- Erosion of brand image (driving force)
- Loss of sales volume/customers 
- Erosion of competitive position 
- Inability to reduce costs
- Operational inefficiencies 
</v>
          </cell>
          <cell r="CI13">
            <v>5</v>
          </cell>
          <cell r="CJ13">
            <v>25</v>
          </cell>
          <cell r="CK13" t="str">
            <v>critical</v>
          </cell>
          <cell r="CL13" t="str">
            <v>´- Create a climate allowing innovation and “out of the box” thinking 
- investments in digitalization projects to bring disruptive products/services on the market
- Digital Board to monitor digital developments
- Project immunity should deliver digitalization from August 2020</v>
          </cell>
          <cell r="CN13">
            <v>3</v>
          </cell>
          <cell r="CP13">
            <v>4</v>
          </cell>
          <cell r="CQ13">
            <v>12</v>
          </cell>
          <cell r="CR13" t="str">
            <v>high</v>
          </cell>
          <cell r="CS13">
            <v>0</v>
          </cell>
          <cell r="CT13">
            <v>0</v>
          </cell>
          <cell r="CU13" t="str">
            <v>Possible</v>
          </cell>
          <cell r="CV13">
            <v>4</v>
          </cell>
          <cell r="CW13" t="str">
            <v xml:space="preserve">´- Erosion of brand image (driving force)
- Loss of sales volume/customers 
- Erosion of competitive position 
- Inability to reduce costs
- Operational inefficiencies 
</v>
          </cell>
          <cell r="CX13">
            <v>5</v>
          </cell>
          <cell r="CY13">
            <v>20</v>
          </cell>
          <cell r="CZ13" t="str">
            <v>critical</v>
          </cell>
          <cell r="DA13" t="str">
            <v>´- Create a climate allowing innovation and “out of the box” thinking 
- investments in digitalization projects to bring disruptive products/services on the market
- Digital Board to monitor digital developments</v>
          </cell>
          <cell r="DB13">
            <v>3</v>
          </cell>
          <cell r="DC13">
            <v>4</v>
          </cell>
          <cell r="DD13">
            <v>12</v>
          </cell>
          <cell r="DE13" t="str">
            <v>high</v>
          </cell>
          <cell r="DF13">
            <v>0</v>
          </cell>
          <cell r="DG13">
            <v>0</v>
          </cell>
          <cell r="DH13">
            <v>12</v>
          </cell>
          <cell r="DI13" t="str">
            <v>high</v>
          </cell>
          <cell r="DJ13" t="str">
            <v>R. Jayendran
G. Franco
S. Oremovic
I. Botha</v>
          </cell>
          <cell r="DK13" t="str">
            <v>Michael Wu
Celso Freitas
Alexander Schillinger</v>
          </cell>
          <cell r="DL13" t="str">
            <v>EMT/Digital Board</v>
          </cell>
          <cell r="DM13" t="str">
            <v>BoD</v>
          </cell>
        </row>
        <row r="14">
          <cell r="A14">
            <v>9</v>
          </cell>
          <cell r="B14" t="str">
            <v xml:space="preserve">Production interruption </v>
          </cell>
          <cell r="C14" t="str">
            <v>Production interruption at our plants (e.g. equipment failures).</v>
          </cell>
          <cell r="D14" t="str">
            <v>5 - Business interruption and supply chain disruption</v>
          </cell>
          <cell r="E14" t="str">
            <v>´- natural catastrophes, (covered under risk 16)
- fire, (covered under risk 16)
- machinery breakdown, 
- supply chain disruption (partially covered under risk 14)
- cyber-attacks (covered under risk 19)
- political/legislative changes Leading to loss of mining rights (covered under risk 2)</v>
          </cell>
          <cell r="F14" t="str">
            <v>Internal</v>
          </cell>
          <cell r="G14" t="e">
            <v>#REF!</v>
          </cell>
          <cell r="H14" t="str">
            <v>Medium</v>
          </cell>
          <cell r="I14" t="str">
            <v>In the context of global pandemic, the risk of production interruption is very likely in certain countries (and already crystallized in India)</v>
          </cell>
          <cell r="J14">
            <v>4</v>
          </cell>
          <cell r="K14" t="str">
            <v>´- Deteriorating of client relationships due to delays in deliveries 
-Missed sales due to inability to supplying products to customers 
- Production delay resulting in higher production costs</v>
          </cell>
          <cell r="L14">
            <v>5</v>
          </cell>
          <cell r="M14">
            <v>20</v>
          </cell>
          <cell r="N14" t="str">
            <v>critical</v>
          </cell>
          <cell r="O14" t="str">
            <v>´- Diversified production network in terms of geographies  
- Implementation of an optimized production footprint to meet planned requirements
- Operational risk management and maintenance policies
- Risk based investment policy
- Insurance coverage for property damage and business interruption due to natural events and machinery breakdown (coverage for damages from approx. €10m to €400m - maximum claim amount was 7 millions in the past)</v>
          </cell>
          <cell r="P14" t="str">
            <v>Reduced level of risk due to scope of the risk being limited only to production interruption due to machinery availability, natural disasters, etc.</v>
          </cell>
          <cell r="Q14">
            <v>2</v>
          </cell>
          <cell r="R14" t="str">
            <v>Reduced level of risk due to scope of the risk being limited only to production interruption due to machinery availability, natural disasters, etc.</v>
          </cell>
          <cell r="S14">
            <v>3</v>
          </cell>
          <cell r="T14">
            <v>6</v>
          </cell>
          <cell r="U14" t="str">
            <v>low</v>
          </cell>
          <cell r="V14">
            <v>0</v>
          </cell>
          <cell r="W14">
            <v>0</v>
          </cell>
          <cell r="Y14">
            <v>4</v>
          </cell>
          <cell r="AA14">
            <v>5</v>
          </cell>
          <cell r="AB14">
            <v>20</v>
          </cell>
          <cell r="AC14" t="str">
            <v>critical</v>
          </cell>
          <cell r="AF14">
            <v>2</v>
          </cell>
          <cell r="AH14">
            <v>3</v>
          </cell>
          <cell r="AI14">
            <v>6</v>
          </cell>
          <cell r="AJ14" t="str">
            <v>low</v>
          </cell>
          <cell r="AK14">
            <v>0</v>
          </cell>
          <cell r="AL14">
            <v>0</v>
          </cell>
          <cell r="AM14" t="str">
            <v>In the context of global pandemic, the risk of production interruption is very likely in certain countries (and already crystallized in India)</v>
          </cell>
          <cell r="AN14">
            <v>4</v>
          </cell>
          <cell r="AO14" t="str">
            <v>´- Deteriorating of client relationships due to delays in deliveries 
-Missed sales due to inability to supplying products to customers 
- Production delay resulting in higher production costs</v>
          </cell>
          <cell r="AP14">
            <v>5</v>
          </cell>
          <cell r="AQ14">
            <v>20</v>
          </cell>
          <cell r="AR14" t="str">
            <v>critical</v>
          </cell>
          <cell r="AS14" t="str">
            <v>´- Diversified production network in terms of geographies  
- Implementation of an optimized production footprint to meet planned requirements
- Operational risk management and maintenance policies
- Risk based investment policy
- Insurance coverage for property damage and business interruption due to natural events and machinery breakdown (coverage for damages from approx. €10m to €400m - maximum claim amount was 7 millions in the past)</v>
          </cell>
          <cell r="AT14" t="str">
            <v>Reduced level of risk due to scope of the risk being limited only to production interruption due to machinery availability, natural disasters, etc.</v>
          </cell>
          <cell r="AU14">
            <v>2</v>
          </cell>
          <cell r="AV14" t="str">
            <v>Reduced level of risk due to scope of the risk being limited only to production interruption due to machinery availability, natural disasters, etc.</v>
          </cell>
          <cell r="AW14">
            <v>3</v>
          </cell>
          <cell r="AX14">
            <v>6</v>
          </cell>
          <cell r="AY14" t="str">
            <v>low</v>
          </cell>
          <cell r="AZ14">
            <v>-9</v>
          </cell>
          <cell r="BA14">
            <v>-9</v>
          </cell>
          <cell r="BB14" t="str">
            <v>In the context of global pandemic, the risk of production interruption is very likely in certain countries (and already crystallized in India)</v>
          </cell>
          <cell r="BC14">
            <v>4</v>
          </cell>
          <cell r="BD14" t="str">
            <v>´- Deteriorating of client relationships due to delays in deliveries 
-Missed sales due to inability to supplying products to customers 
- Production delay resulting in higher production costs</v>
          </cell>
          <cell r="BE14">
            <v>5</v>
          </cell>
          <cell r="BF14">
            <v>20</v>
          </cell>
          <cell r="BG14" t="str">
            <v>critical</v>
          </cell>
          <cell r="BH14" t="str">
            <v>´- Diversified production network in terms of geographies  
- Implementation of an optimized production footprint to meet planned requirements
- Operational risk management and maintenance policies
- Risk based investment policy
- Insurance coverage for property damage and business interruption due to natural events and machinery breakdown (coverage for damages from approx. €10m to €400m - maximum claim amount was 7 millions in the past)</v>
          </cell>
          <cell r="BJ14">
            <v>3</v>
          </cell>
          <cell r="BL14">
            <v>5</v>
          </cell>
          <cell r="BM14">
            <v>15</v>
          </cell>
          <cell r="BN14" t="str">
            <v>high</v>
          </cell>
          <cell r="BO14">
            <v>15</v>
          </cell>
          <cell r="BP14">
            <v>15</v>
          </cell>
          <cell r="BQ14" t="str">
            <v>In the context of global pandemic, the risk of production interruption is very likely in certain countries (and already crystallized in India)</v>
          </cell>
          <cell r="BR14">
            <v>4</v>
          </cell>
          <cell r="BS14" t="str">
            <v>´- Deteriorating of client relationships due to delays in deliveries 
-Missed sales due to inability to supplying products to customers 
- Production delay resulting in higher production costs</v>
          </cell>
          <cell r="BT14">
            <v>4</v>
          </cell>
          <cell r="BU14">
            <v>16</v>
          </cell>
          <cell r="BV14" t="str">
            <v>high</v>
          </cell>
          <cell r="BW14" t="str">
            <v>´- Diversified production network in terms of geographies  
- Implementation of an optimized production footprint to meet planned requirements
- Operational risk management and maintenance policies
- Risk based investment policy
- Insurance coverage for property damage and business interruption due to natural events and machinery breakdown (coverage for damages from approx. €10m to €400m - maximum claim amount was 7 millions in the past)</v>
          </cell>
          <cell r="BY14">
            <v>4</v>
          </cell>
          <cell r="CA14">
            <v>3</v>
          </cell>
          <cell r="CB14">
            <v>12</v>
          </cell>
          <cell r="CC14" t="str">
            <v>high</v>
          </cell>
          <cell r="CD14">
            <v>12</v>
          </cell>
          <cell r="CE14">
            <v>12</v>
          </cell>
          <cell r="CF14" t="str">
            <v>In the context of global pandemic, the risk of production interruption is very likely in certain countries (and already crystallized in India)</v>
          </cell>
          <cell r="CG14">
            <v>4</v>
          </cell>
          <cell r="CH14" t="str">
            <v>´- Deteriorating of client relationships due to delays in deliveries 
-Missed sales due to inability to supplying products to customers 
- Production delay resulting in higher production costs</v>
          </cell>
          <cell r="CI14">
            <v>4</v>
          </cell>
          <cell r="CJ14">
            <v>16</v>
          </cell>
          <cell r="CK14" t="str">
            <v>high</v>
          </cell>
          <cell r="CL14" t="str">
            <v>´- Diversified production network in terms of geographies  
- Implementation of an optimized production footprint to meet planned requirements
- Operational risk management and maintenance policies
- Risk based investment policy
- Insurance coverage for property damage and business interruption due to natural events and machinery breakdown (coverage for damages from approx. €10m to €400m - maximum claim amount was 7 millions in the past)</v>
          </cell>
          <cell r="CN14">
            <v>4</v>
          </cell>
          <cell r="CP14">
            <v>3</v>
          </cell>
          <cell r="CQ14">
            <v>12</v>
          </cell>
          <cell r="CR14" t="str">
            <v>high</v>
          </cell>
          <cell r="CS14">
            <v>0</v>
          </cell>
          <cell r="CT14">
            <v>0</v>
          </cell>
          <cell r="CU14" t="str">
            <v>In the context of global pandemic, the risk of production interruption is very likely in certain countries (and already crystallized in India)</v>
          </cell>
          <cell r="CV14">
            <v>4</v>
          </cell>
          <cell r="CW14" t="str">
            <v>´- Deteriorating of client relationships due to delays in deliveries 
-Missed sales due to inability to supplying products to customers 
- Production delay resulting in higher production costs</v>
          </cell>
          <cell r="CX14">
            <v>4</v>
          </cell>
          <cell r="CY14">
            <v>16</v>
          </cell>
          <cell r="CZ14" t="str">
            <v>high</v>
          </cell>
          <cell r="DA14" t="str">
            <v>´- Diversified production network in terms of geographies  
- Implementation of an optimized production footprint to meet planned requirements
- Operational risk management and maintenance policies
- Risk based investment policy
- Insurance coverage for property damage and business interruption due to natural events and machinery breakdown (coverage for damages from approx. €10m to €400m - maximum claim amount was 7 millions in the past)</v>
          </cell>
          <cell r="DB14">
            <v>4</v>
          </cell>
          <cell r="DC14">
            <v>3</v>
          </cell>
          <cell r="DD14">
            <v>12</v>
          </cell>
          <cell r="DE14" t="str">
            <v>high</v>
          </cell>
          <cell r="DF14">
            <v>3</v>
          </cell>
          <cell r="DG14">
            <v>3</v>
          </cell>
          <cell r="DH14">
            <v>9</v>
          </cell>
          <cell r="DI14" t="str">
            <v>medium</v>
          </cell>
          <cell r="DJ14" t="str">
            <v>R. Jayendran</v>
          </cell>
          <cell r="DK14" t="str">
            <v>Operations</v>
          </cell>
          <cell r="DL14" t="str">
            <v>EMT</v>
          </cell>
          <cell r="DM14" t="str">
            <v>BoD</v>
          </cell>
        </row>
        <row r="15">
          <cell r="A15">
            <v>10</v>
          </cell>
          <cell r="B15" t="str">
            <v>Net debt</v>
          </cell>
          <cell r="C15" t="str">
            <v>Inability to generate cash</v>
          </cell>
          <cell r="D15" t="str">
            <v>3 - Inability to execute key strategic initiatives</v>
          </cell>
          <cell r="E15" t="str">
            <v>- inability to reduce CAPEX back to "normal level" in years from 2022 onwards. Annual CAPEX spent should be at approx 30m</v>
          </cell>
          <cell r="F15" t="str">
            <v>Internal</v>
          </cell>
          <cell r="G15" t="e">
            <v>#REF!</v>
          </cell>
          <cell r="H15" t="str">
            <v>Medium</v>
          </cell>
          <cell r="I15" t="str">
            <v>Very likely - likelihood increased as consequence of coronavirus crisis changing the economic environment leading to reduced sales and reduced production volumes</v>
          </cell>
          <cell r="J15">
            <v>4</v>
          </cell>
          <cell r="K15" t="str">
            <v>´- low operating efficiency leading to margin erosion
- low profitability due fixed costs under absorption and high conversion costs</v>
          </cell>
          <cell r="L15">
            <v>5</v>
          </cell>
          <cell r="M15">
            <v>20</v>
          </cell>
          <cell r="N15" t="str">
            <v>critical</v>
          </cell>
          <cell r="O15" t="str">
            <v>´- SG&amp;A cost reduction initiatives (including Corona related initiatives)
- Lean initiatives
- Closure/Part closure of production sites to optimize fixed costs absorption and production network</v>
          </cell>
          <cell r="P15" t="str">
            <v>net debt forecasted negative for 2021. Risk rating was already raised in Q2 2021 to factor in the expectations of net debt likely to worsen in H2, which materialized in Q3 mainly due to the high level of stock and lower level of profit. Liquidity is expected to be improved by additional loan facilities (Eur 350m) and the payment of Magnifin (Eur 100m expected to be executed in December 2021).</v>
          </cell>
          <cell r="Q15">
            <v>3</v>
          </cell>
          <cell r="R15" t="str">
            <v>´potential high impact</v>
          </cell>
          <cell r="S15">
            <v>5</v>
          </cell>
          <cell r="T15">
            <v>15</v>
          </cell>
          <cell r="U15" t="str">
            <v>high</v>
          </cell>
          <cell r="V15">
            <v>0</v>
          </cell>
          <cell r="W15">
            <v>0</v>
          </cell>
          <cell r="Y15">
            <v>3</v>
          </cell>
          <cell r="AA15">
            <v>5</v>
          </cell>
          <cell r="AB15">
            <v>15</v>
          </cell>
          <cell r="AC15" t="str">
            <v>high</v>
          </cell>
          <cell r="AD15" t="str">
            <v>?</v>
          </cell>
          <cell r="AE15" t="str">
            <v>Likelihood increased due to net debt worsening (dividend payment, share buyback programme and significant level of CAPEX)</v>
          </cell>
          <cell r="AF15">
            <v>3</v>
          </cell>
          <cell r="AH15">
            <v>5</v>
          </cell>
          <cell r="AI15">
            <v>15</v>
          </cell>
          <cell r="AJ15" t="str">
            <v>high</v>
          </cell>
          <cell r="AK15">
            <v>5</v>
          </cell>
          <cell r="AL15">
            <v>5</v>
          </cell>
          <cell r="AM15" t="str">
            <v>Very likely - likelihood increased as consequence of coronavirus crisis changing the economic environment leading to reduced sales and reduced production volumes</v>
          </cell>
          <cell r="AN15">
            <v>3</v>
          </cell>
          <cell r="AO15" t="str">
            <v>´- low operating efficiency leading to margin erosion
- low profitability due fixed costs under absorption and high conversion costs</v>
          </cell>
          <cell r="AP15">
            <v>5</v>
          </cell>
          <cell r="AQ15">
            <v>15</v>
          </cell>
          <cell r="AR15" t="str">
            <v>high</v>
          </cell>
          <cell r="AS15" t="str">
            <v>´- SG&amp;A cost reduction initiatives (including Corona related initiatives)
- Lean initiatives
- Closure/Part closure of production sites to optimize fixed costs absorption and production network</v>
          </cell>
          <cell r="AU15">
            <v>2</v>
          </cell>
          <cell r="AW15">
            <v>5</v>
          </cell>
          <cell r="AX15">
            <v>10</v>
          </cell>
          <cell r="AY15" t="str">
            <v>medium</v>
          </cell>
          <cell r="AZ15">
            <v>0</v>
          </cell>
          <cell r="BA15">
            <v>0</v>
          </cell>
          <cell r="BB15" t="str">
            <v>Very likely - likelihood increased as consequence of coronavirus crisis changing the economic environment leading to reduced sales and reduced production volumes</v>
          </cell>
          <cell r="BC15">
            <v>3</v>
          </cell>
          <cell r="BD15" t="str">
            <v>´- low operating efficiency leading to margin erosion
- low profitability due fixed costs under absorption and high conversion costs</v>
          </cell>
          <cell r="BE15">
            <v>5</v>
          </cell>
          <cell r="BF15">
            <v>15</v>
          </cell>
          <cell r="BG15" t="str">
            <v>high</v>
          </cell>
          <cell r="BH15" t="str">
            <v>´- SG&amp;A cost reduction initiatives (including Corona related initiatives)
- Lean initiatives
- Closure/Part closure of production sites to optimize fixed costs absorption and production network</v>
          </cell>
          <cell r="BJ15">
            <v>2</v>
          </cell>
          <cell r="BL15">
            <v>5</v>
          </cell>
          <cell r="BM15">
            <v>10</v>
          </cell>
          <cell r="BN15" t="str">
            <v>medium</v>
          </cell>
          <cell r="BO15">
            <v>10</v>
          </cell>
          <cell r="BP15">
            <v>10</v>
          </cell>
          <cell r="BQ15" t="str">
            <v>Very likely - likelihood increased as consequence of coronavirus crisis changing the economic environment leading to reduced sales and reduced production volumes</v>
          </cell>
          <cell r="BR15">
            <v>3</v>
          </cell>
          <cell r="BS15" t="str">
            <v>´- low operating efficiency leading to margin erosion
- low profitability due fixed costs under absorption and high conversion costs</v>
          </cell>
          <cell r="BT15">
            <v>5</v>
          </cell>
          <cell r="BU15">
            <v>15</v>
          </cell>
          <cell r="BV15" t="str">
            <v>high</v>
          </cell>
          <cell r="BW15" t="str">
            <v>´- SG&amp;A cost reduction initiatives (including Corona related initiatives)
- Lean initiatives
- Closure/Part closure of production sites to optimize fixed costs absorption and production network</v>
          </cell>
          <cell r="BY15">
            <v>2</v>
          </cell>
          <cell r="CA15">
            <v>5</v>
          </cell>
          <cell r="CB15">
            <v>10</v>
          </cell>
          <cell r="CC15" t="str">
            <v>medium</v>
          </cell>
          <cell r="CD15">
            <v>10</v>
          </cell>
          <cell r="CE15">
            <v>10</v>
          </cell>
          <cell r="CF15" t="str">
            <v>Very likely - likelihood increased as consequence of coronavirus crisis changing the economic environment leading to reduced sales and reduced production volumes</v>
          </cell>
          <cell r="CG15">
            <v>3</v>
          </cell>
          <cell r="CH15" t="str">
            <v>´- low operating efficiency leading to margin erosion
- low profitability due fixed costs under absorption and high conversion costs</v>
          </cell>
          <cell r="CI15">
            <v>5</v>
          </cell>
          <cell r="CJ15">
            <v>15</v>
          </cell>
          <cell r="CK15" t="str">
            <v>high</v>
          </cell>
          <cell r="CL15" t="str">
            <v>´- SG&amp;A cost reduction initiatives (including Corona related initiatives)
- Lean initiatives
- Closure/Part closure of production sites to optimize fixed costs absorption and production network</v>
          </cell>
          <cell r="CN15">
            <v>2</v>
          </cell>
          <cell r="CP15">
            <v>5</v>
          </cell>
          <cell r="CQ15">
            <v>10</v>
          </cell>
          <cell r="CR15" t="str">
            <v>medium</v>
          </cell>
          <cell r="CS15">
            <v>0</v>
          </cell>
          <cell r="CT15">
            <v>0</v>
          </cell>
          <cell r="CV15">
            <v>3</v>
          </cell>
          <cell r="CX15">
            <v>5</v>
          </cell>
          <cell r="CY15">
            <v>15</v>
          </cell>
          <cell r="CZ15" t="str">
            <v>high</v>
          </cell>
          <cell r="DB15">
            <v>2</v>
          </cell>
          <cell r="DC15">
            <v>5</v>
          </cell>
          <cell r="DD15">
            <v>10</v>
          </cell>
          <cell r="DE15" t="str">
            <v>medium</v>
          </cell>
          <cell r="DF15">
            <v>5</v>
          </cell>
          <cell r="DG15">
            <v>5</v>
          </cell>
          <cell r="DH15">
            <v>5</v>
          </cell>
          <cell r="DI15" t="str">
            <v>low</v>
          </cell>
          <cell r="DJ15" t="str">
            <v>I. Botha</v>
          </cell>
          <cell r="DK15" t="str">
            <v>Felix Warmuth</v>
          </cell>
          <cell r="DL15" t="str">
            <v>EMT</v>
          </cell>
          <cell r="DM15" t="str">
            <v>BoD</v>
          </cell>
        </row>
        <row r="16">
          <cell r="A16">
            <v>11</v>
          </cell>
          <cell r="B16" t="str">
            <v>H&amp;S</v>
          </cell>
          <cell r="C16" t="str">
            <v>Health &amp; Safety risks</v>
          </cell>
          <cell r="D16" t="str">
            <v>7 - Sustainability – Health &amp; Safety risks</v>
          </cell>
          <cell r="E16" t="str">
            <v>´- Health &amp; Safety hazards at our production sites
-Health &amp; Safety hazards at customer production sites</v>
          </cell>
          <cell r="F16" t="str">
            <v>Internal</v>
          </cell>
          <cell r="G16" t="e">
            <v>#REF!</v>
          </cell>
          <cell r="H16" t="str">
            <v>Very high</v>
          </cell>
          <cell r="I16" t="str">
            <v xml:space="preserve">High because of the nature of our activities in the mines and in the plants. </v>
          </cell>
          <cell r="J16">
            <v>5</v>
          </cell>
          <cell r="K16" t="str">
            <v>´- harm to individuals
- high financial penalties
- site closure 
- reputation loss</v>
          </cell>
          <cell r="L16">
            <v>4</v>
          </cell>
          <cell r="M16">
            <v>20</v>
          </cell>
          <cell r="N16" t="str">
            <v>critical</v>
          </cell>
          <cell r="O16" t="str">
            <v>´- Local insurances cover for injuries, accidents, death and associated legal costs (no coverage of fines) for employees and 3rd parties at our premises (this type of claims are usually settled for under 1m).
- adoption of Leading global standards and practices
- Regular risk assessment at all sites and root cause analysis
- preventive measures to protect employees' health during Coronavirus</v>
          </cell>
          <cell r="P16" t="str">
            <v>reduced due to mitigating actions</v>
          </cell>
          <cell r="Q16">
            <v>3</v>
          </cell>
          <cell r="R16" t="str">
            <v>risk revised upwards due to wider scope (customers site, contractors) and due to increased relevance of health</v>
          </cell>
          <cell r="S16">
            <v>4</v>
          </cell>
          <cell r="T16">
            <v>12</v>
          </cell>
          <cell r="U16" t="str">
            <v>high</v>
          </cell>
          <cell r="V16">
            <v>0</v>
          </cell>
          <cell r="W16">
            <v>0</v>
          </cell>
          <cell r="Y16">
            <v>5</v>
          </cell>
          <cell r="AA16">
            <v>4</v>
          </cell>
          <cell r="AB16">
            <v>20</v>
          </cell>
          <cell r="AC16" t="str">
            <v>critical</v>
          </cell>
          <cell r="AF16">
            <v>3</v>
          </cell>
          <cell r="AH16">
            <v>4</v>
          </cell>
          <cell r="AI16">
            <v>12</v>
          </cell>
          <cell r="AJ16" t="str">
            <v>high</v>
          </cell>
          <cell r="AK16">
            <v>0</v>
          </cell>
          <cell r="AL16">
            <v>0</v>
          </cell>
          <cell r="AM16" t="str">
            <v>High because of the nature of our activities in the mines and in the plants. Increasingly high compared to previous quarter due to higher likelihood of safety risk due to coronavirus.</v>
          </cell>
          <cell r="AN16">
            <v>5</v>
          </cell>
          <cell r="AO16" t="str">
            <v>´- harm to individuals
- high financial penalties
- site closure 
- reputation loss</v>
          </cell>
          <cell r="AP16">
            <v>4</v>
          </cell>
          <cell r="AQ16">
            <v>20</v>
          </cell>
          <cell r="AR16" t="str">
            <v>critical</v>
          </cell>
          <cell r="AS16" t="str">
            <v>´- Local insurances cover for injuries, accidents, death and associated legal costs (no coverage of fines) for employees and 3rd parties at our premises (this type of claims are usually settled for under 1m).
- adoption of Leading global standards and practices
- Regular risk assessment at all sites and root cause analysis
- preventive measures to protect employees' health during Coronavirus</v>
          </cell>
          <cell r="AU16">
            <v>3</v>
          </cell>
          <cell r="AV16" t="str">
            <v>risk revised upwards due to wider scope (customers site, contractors) and due to increased relevance of health</v>
          </cell>
          <cell r="AW16">
            <v>4</v>
          </cell>
          <cell r="AX16">
            <v>12</v>
          </cell>
          <cell r="AY16" t="str">
            <v>high</v>
          </cell>
          <cell r="AZ16">
            <v>3</v>
          </cell>
          <cell r="BA16">
            <v>3</v>
          </cell>
          <cell r="BB16" t="str">
            <v>High because of the nature of our activities in the mines and in the plants. Increasingly high compared to previous quarter due to higher likelihood of safety risk due to coronavirus.</v>
          </cell>
          <cell r="BC16">
            <v>4</v>
          </cell>
          <cell r="BD16" t="str">
            <v>´- harm to individuals
- high financial penalties
- site closure 
- reputation loss</v>
          </cell>
          <cell r="BE16">
            <v>4</v>
          </cell>
          <cell r="BF16">
            <v>16</v>
          </cell>
          <cell r="BG16" t="str">
            <v>high</v>
          </cell>
          <cell r="BH16" t="str">
            <v>´- Local insurances cover for injuries, accidents, death and associated legal costs (no coverage of fines) for employees and 3rd parties at our premises (this type of claims are usually settled for under 1m).
- adoption of Leading global standards and practices
- Regular risk assessment at all sites and root cause analysis
- preventive measures to protect employees' health during Coronavirus</v>
          </cell>
          <cell r="BJ16">
            <v>3</v>
          </cell>
          <cell r="BL16">
            <v>3</v>
          </cell>
          <cell r="BM16">
            <v>9</v>
          </cell>
          <cell r="BN16" t="str">
            <v>medium</v>
          </cell>
          <cell r="BO16">
            <v>9</v>
          </cell>
          <cell r="BP16">
            <v>9</v>
          </cell>
          <cell r="BQ16" t="str">
            <v>High because of the nature of our activities in the mines and in the plants. Increasingly high compared to previous quarter due to higher likelihood of safety risk due to coronavirus.</v>
          </cell>
          <cell r="BR16">
            <v>4</v>
          </cell>
          <cell r="BS16" t="str">
            <v>´- harm to individuals
- high financial penalties
- site closure 
- reputation loss</v>
          </cell>
          <cell r="BT16">
            <v>4</v>
          </cell>
          <cell r="BU16">
            <v>16</v>
          </cell>
          <cell r="BV16" t="str">
            <v>high</v>
          </cell>
          <cell r="BW16" t="str">
            <v>´- Local insurances cover for injuries, accidents, death and associated legal costs (no coverage of fines) for employees and 3rd parties at our premises (this type of claims are usually settled for under 1m).
- adoption of Leading global standards and practices
- Regular risk assessment at all sites and root cause analysis
- preventive measures to protect employees' health during Coronavirus</v>
          </cell>
          <cell r="BY16">
            <v>3</v>
          </cell>
          <cell r="CA16">
            <v>3</v>
          </cell>
          <cell r="CB16">
            <v>9</v>
          </cell>
          <cell r="CC16" t="str">
            <v>medium</v>
          </cell>
          <cell r="CD16">
            <v>9</v>
          </cell>
          <cell r="CE16">
            <v>9</v>
          </cell>
          <cell r="CF16" t="str">
            <v>High because of the nature of our activities in the mines and in the plants. Increasingly high compared to previous quarter due to higher likelihood of safety risk due to coronavirus.</v>
          </cell>
          <cell r="CG16">
            <v>4</v>
          </cell>
          <cell r="CH16" t="str">
            <v>´- harm to individuals
- high financial penalties
- site closure 
- reputation loss</v>
          </cell>
          <cell r="CI16">
            <v>4</v>
          </cell>
          <cell r="CJ16">
            <v>16</v>
          </cell>
          <cell r="CK16" t="str">
            <v>high</v>
          </cell>
          <cell r="CL16" t="str">
            <v>´- Local insurances cover for injuries, accidents, death and associated legal costs (no coverage of fines) for employees and 3rd parties at our premises (this type of claims are usually settled for under 1m).
- adoption of Leading global standards and practices
- Regular risk assessment at all sites and root cause analysis
- preventive measures to protect employees' health during Coronavirus</v>
          </cell>
          <cell r="CN16">
            <v>3</v>
          </cell>
          <cell r="CP16">
            <v>3</v>
          </cell>
          <cell r="CQ16">
            <v>9</v>
          </cell>
          <cell r="CR16" t="str">
            <v>medium</v>
          </cell>
          <cell r="CS16">
            <v>0</v>
          </cell>
          <cell r="CT16">
            <v>0</v>
          </cell>
          <cell r="CU16" t="str">
            <v>High because of the nature of our activities in the mines and in the plants. Increasingly high compared to previous quarter due to higher likelihood of safety risk due to coronavirus.</v>
          </cell>
          <cell r="CV16">
            <v>4</v>
          </cell>
          <cell r="CW16" t="str">
            <v>´- harm to individuals
- high financial penalties
- site closure 
- reputation loss</v>
          </cell>
          <cell r="CX16">
            <v>4</v>
          </cell>
          <cell r="CY16">
            <v>16</v>
          </cell>
          <cell r="CZ16" t="str">
            <v>high</v>
          </cell>
          <cell r="DA16" t="str">
            <v>´- Local insurances cover for injuries, accidents, death and associated legal costs (no coverage of fines) for employees and 3rd parties at our premises (this type of claims are usually settled for under 1m).
- adoption of Leading global standards and practices
- Regular risk assessment at all sites and root cause analysis
- preventive measures to protect employees' health during Coronavirus</v>
          </cell>
          <cell r="DB16">
            <v>3</v>
          </cell>
          <cell r="DC16">
            <v>3</v>
          </cell>
          <cell r="DD16">
            <v>9</v>
          </cell>
          <cell r="DE16" t="str">
            <v>medium</v>
          </cell>
          <cell r="DF16">
            <v>3</v>
          </cell>
          <cell r="DG16">
            <v>3</v>
          </cell>
          <cell r="DH16">
            <v>6</v>
          </cell>
          <cell r="DI16" t="str">
            <v>low</v>
          </cell>
          <cell r="DJ16" t="str">
            <v>R. Jayendran
L. Bittencourt</v>
          </cell>
          <cell r="DK16" t="str">
            <v>Brian Plasket/Thomas Froemmer</v>
          </cell>
          <cell r="DL16" t="str">
            <v>EMT</v>
          </cell>
          <cell r="DM16" t="str">
            <v>Sustainability Board Committee</v>
          </cell>
        </row>
        <row r="17">
          <cell r="A17">
            <v>12</v>
          </cell>
          <cell r="B17" t="str">
            <v>Organizational capacity to execute strategy, including demonstration of company cultural behaviours</v>
          </cell>
          <cell r="C17" t="str">
            <v>Lack of leadership skills and capability to execute strategy, inability to attract and retain top talents, diversity, be an influencer in the adoption of corporate culture.</v>
          </cell>
          <cell r="D17" t="str">
            <v>11 - Organizational capacity to execute strategy, including demonstrating company cultural values</v>
          </cell>
          <cell r="E17" t="str">
            <v>´- lack of skills 
- lack of opportunities to develop skills
- inability to secure talents due to ineffective recruiting process
- inability to retain talents due to lack of development opportunities
- lack of adoption of company culture
- RHIM is not perceived as an attractive employer</v>
          </cell>
          <cell r="F17" t="str">
            <v>Internal</v>
          </cell>
          <cell r="G17" t="e">
            <v>#REF!</v>
          </cell>
          <cell r="H17" t="str">
            <v>Low</v>
          </cell>
          <cell r="I17" t="str">
            <v>the speed of changes to adapt to the incrasigly rapid environment requires significant management capabilities. Company is going through a number of significant changes too.</v>
          </cell>
          <cell r="J17">
            <v>4</v>
          </cell>
          <cell r="K17" t="str">
            <v xml:space="preserve">´Management lack of skills can result in failure in meeting company strategic objectives might have different levels of impact depending on the type of objective (i.e. sales, market share, margins, profitability, reputation). Impact can be critical if lack of skills is a spread problem which might result in more than 1 strategic objectives not being delivered.
</v>
          </cell>
          <cell r="L17">
            <v>5</v>
          </cell>
          <cell r="M17">
            <v>20</v>
          </cell>
          <cell r="N17" t="str">
            <v>critical</v>
          </cell>
          <cell r="O17" t="str">
            <v xml:space="preserve">´- Leadership capability enhancement programme (de-prioritized)
- Nurturing talent pool with plans to attract future leaders and help female leaders emerging
- Diversity initiatives to attract and retain talents and enrich company culture
- Project immunity to retain talents and top performers
</v>
          </cell>
          <cell r="P17" t="str">
            <v>likelyhood not reduced significantly by the current initiatives. Example of lack of accountability were identified during Q2 and Q3 - this topic was also featured in the leadership conference 2021.</v>
          </cell>
          <cell r="Q17">
            <v>4</v>
          </cell>
          <cell r="R17" t="str">
            <v xml:space="preserve">´Management lack of skills can result in failure in meeting company strategic objectives might have different levels of impact depending on the type of objective (i.e. sales, market share, margins, profitability, reputation). Impact can be critical if lack of skills is a spread problem which might result in more than 1 strategic objectives not being delivered.
</v>
          </cell>
          <cell r="S17">
            <v>5</v>
          </cell>
          <cell r="T17">
            <v>20</v>
          </cell>
          <cell r="U17" t="str">
            <v>critical</v>
          </cell>
          <cell r="V17">
            <v>0</v>
          </cell>
          <cell r="W17">
            <v>0</v>
          </cell>
          <cell r="Y17">
            <v>4</v>
          </cell>
          <cell r="AA17">
            <v>5</v>
          </cell>
          <cell r="AB17">
            <v>20</v>
          </cell>
          <cell r="AC17" t="str">
            <v>critical</v>
          </cell>
          <cell r="AD17" t="str">
            <v xml:space="preserve">Execution confirmed to be a focus area to delivery 2025 strategy however the risk of lack of adoption of the company culture has been isolated in a new risk </v>
          </cell>
          <cell r="AE17" t="str">
            <v>The risk of lack of adaption of the company culture has been isolated in a ned risk which leads to the decrease in likelihood</v>
          </cell>
          <cell r="AF17">
            <v>4</v>
          </cell>
          <cell r="AH17">
            <v>5</v>
          </cell>
          <cell r="AI17">
            <v>20</v>
          </cell>
          <cell r="AJ17" t="str">
            <v>critical</v>
          </cell>
          <cell r="AK17">
            <v>5</v>
          </cell>
          <cell r="AL17">
            <v>5</v>
          </cell>
          <cell r="AM17" t="str">
            <v>Possible</v>
          </cell>
          <cell r="AN17">
            <v>4</v>
          </cell>
          <cell r="AO17" t="str">
            <v xml:space="preserve">´Management lack of skills can result in failure in meeting company strategic objectives might have different levels of impact depending on the type of objective (i.e. sales, market share, margins, profitability, reputation). Impact can be critical if lack of skills is a spread problem which might result in more than 1 strategic objectives not being delivered.
</v>
          </cell>
          <cell r="AP17">
            <v>5</v>
          </cell>
          <cell r="AQ17">
            <v>20</v>
          </cell>
          <cell r="AR17" t="str">
            <v>critical</v>
          </cell>
          <cell r="AS17" t="str">
            <v xml:space="preserve">´- Global network of culture champions to enhance culture
- Leadership capability enhancement programme
- Nurturing talent pool with plans to attract future leaders and help female leaders emerging
- Diversity initiatives to attract and retain talents and enrich company culture
- Project immunity to retain talents and top performers
</v>
          </cell>
          <cell r="AU17">
            <v>3</v>
          </cell>
          <cell r="AW17">
            <v>5</v>
          </cell>
          <cell r="AX17">
            <v>15</v>
          </cell>
          <cell r="AY17" t="str">
            <v>high</v>
          </cell>
          <cell r="AZ17">
            <v>0</v>
          </cell>
          <cell r="BA17">
            <v>0</v>
          </cell>
          <cell r="BB17" t="str">
            <v>Possible</v>
          </cell>
          <cell r="BC17">
            <v>4</v>
          </cell>
          <cell r="BD17" t="str">
            <v xml:space="preserve">´Management lack of skills can result in failure in meeting company strategic objectives might have different levels of impact depending on the type of objective (i.e. sales, market share, margins, profitability, reputation). Impact can be critical if lack of skills is a spread problem which might result in more than 1 strategic objectives not being delivered.
</v>
          </cell>
          <cell r="BE17">
            <v>5</v>
          </cell>
          <cell r="BF17">
            <v>20</v>
          </cell>
          <cell r="BG17" t="str">
            <v>critical</v>
          </cell>
          <cell r="BH17" t="str">
            <v xml:space="preserve">´- Global network of culture champions to enhance culture
- Leadership capability enhancement programme
- Nurturing talent pool with plans to attract future leaders and help female leaders emerging
- Diversity initiatives to attract and retain talents and enrich company culture
- Project immunity to retain talents and top performers
</v>
          </cell>
          <cell r="BJ17">
            <v>3</v>
          </cell>
          <cell r="BL17">
            <v>5</v>
          </cell>
          <cell r="BM17">
            <v>15</v>
          </cell>
          <cell r="BN17" t="str">
            <v>high</v>
          </cell>
          <cell r="BO17">
            <v>15</v>
          </cell>
          <cell r="BP17">
            <v>15</v>
          </cell>
          <cell r="BQ17" t="str">
            <v>Possible</v>
          </cell>
          <cell r="BR17">
            <v>4</v>
          </cell>
          <cell r="BS17" t="str">
            <v xml:space="preserve">´Management lack of skills can result in failure in meeting company strategic objectives might have different levels of impact depending on the type of objective (i.e. sales, market share, margins, profitability, reputation). Impact can be critical if lack of skills is a spread problem which might result in more than 1 strategic objectives not being delivered.
</v>
          </cell>
          <cell r="BT17">
            <v>5</v>
          </cell>
          <cell r="BU17">
            <v>20</v>
          </cell>
          <cell r="BV17" t="str">
            <v>critical</v>
          </cell>
          <cell r="BW17" t="str">
            <v xml:space="preserve">´- Global network of culture champions to enhance culture
- Leadership capability enhancement programme
- Nurturing talent pool with plans to attract future leaders and help female leaders emerging
- Diversity initiatives to attract and retain talents and enrich company culture
- Project immunity to retain talents and top performers
</v>
          </cell>
          <cell r="BY17">
            <v>3</v>
          </cell>
          <cell r="CA17">
            <v>4</v>
          </cell>
          <cell r="CB17">
            <v>12</v>
          </cell>
          <cell r="CC17" t="str">
            <v>high</v>
          </cell>
          <cell r="CD17">
            <v>12</v>
          </cell>
          <cell r="CE17">
            <v>12</v>
          </cell>
          <cell r="CF17" t="str">
            <v>Possible</v>
          </cell>
          <cell r="CG17">
            <v>4</v>
          </cell>
          <cell r="CH17" t="str">
            <v xml:space="preserve">´Management lack of skills can result in failure in meeting company strategic objectives might have different levels of impact depending on the type of objective (i.e. sales, market share, margins, profitability, reputation). Impact can be critical if lack of skills is a spread problem which might result in more than 1 strategic objectives not being delivered.
</v>
          </cell>
          <cell r="CI17">
            <v>5</v>
          </cell>
          <cell r="CJ17">
            <v>20</v>
          </cell>
          <cell r="CK17" t="str">
            <v>critical</v>
          </cell>
          <cell r="CL17" t="str">
            <v xml:space="preserve">´- Global network of culture champions to enhance culture
- Leadership capability enhancement programme
- Nurturing talent pool with plans to attract future leaders and help female leaders emerging
- Diversity initiatives to attract and retain talents and enrich company culture
- Project immunity to retain talents and top performers
</v>
          </cell>
          <cell r="CN17">
            <v>3</v>
          </cell>
          <cell r="CP17">
            <v>4</v>
          </cell>
          <cell r="CQ17">
            <v>12</v>
          </cell>
          <cell r="CR17" t="str">
            <v>high</v>
          </cell>
          <cell r="CS17">
            <v>0</v>
          </cell>
          <cell r="CT17">
            <v>0</v>
          </cell>
          <cell r="CU17" t="str">
            <v>Possible</v>
          </cell>
          <cell r="CV17">
            <v>4</v>
          </cell>
          <cell r="CW17" t="str">
            <v xml:space="preserve">´Management lack of skills can result in failure in meeting company strategic objectives might have different levels of impact depending on the type of objective (i.e. sales, market share, margins, profitability, reputation). Impact can be critical if lack of skills is a spread problem which might result in more than 1 strategic objectives not being delivered.
</v>
          </cell>
          <cell r="CX17">
            <v>5</v>
          </cell>
          <cell r="CY17">
            <v>20</v>
          </cell>
          <cell r="CZ17" t="str">
            <v>critical</v>
          </cell>
          <cell r="DA17" t="str">
            <v xml:space="preserve">´- Global network of culture champions to enhance culture
- Leadership capability enhancement programme
- Nurturing talent pool with plans to attract future leaders and help female leaders emerging
- Diversity initiatives to attract and retain talents and enrich company culture
</v>
          </cell>
          <cell r="DB17">
            <v>3</v>
          </cell>
          <cell r="DC17">
            <v>4</v>
          </cell>
          <cell r="DD17">
            <v>12</v>
          </cell>
          <cell r="DE17" t="str">
            <v>high</v>
          </cell>
          <cell r="DF17">
            <v>0</v>
          </cell>
          <cell r="DG17">
            <v>0</v>
          </cell>
          <cell r="DH17">
            <v>12</v>
          </cell>
          <cell r="DI17" t="str">
            <v>high</v>
          </cell>
          <cell r="DJ17" t="str">
            <v>S. Borgas</v>
          </cell>
          <cell r="DK17" t="str">
            <v>HR Leaders/Lisa Fuchs</v>
          </cell>
          <cell r="DL17" t="str">
            <v>EMT</v>
          </cell>
          <cell r="DM17" t="str">
            <v>Rem-Co</v>
          </cell>
        </row>
        <row r="18">
          <cell r="A18">
            <v>13</v>
          </cell>
          <cell r="B18" t="str">
            <v>Growth in emerging markets</v>
          </cell>
          <cell r="C18" t="str">
            <v xml:space="preserve">Inability to match strategic delivery with emerging market growth dynamics. (e.g. Steel in China) </v>
          </cell>
          <cell r="D18" t="str">
            <v>1 - Macroeconomic environment and condition of customer industries Leading to significant sales volume reductions</v>
          </cell>
          <cell r="E18" t="str">
            <v>´- new emerging markets for our steel and industrial sectors
- shifting of macroeconomic dynamics</v>
          </cell>
          <cell r="F18" t="str">
            <v>Internal</v>
          </cell>
          <cell r="G18" t="e">
            <v>#REF!</v>
          </cell>
          <cell r="H18" t="str">
            <v>Very Low</v>
          </cell>
          <cell r="I18" t="str">
            <v>Likelihood of new emerging markets shifting the current demand geography is possible</v>
          </cell>
          <cell r="J18">
            <v>3</v>
          </cell>
          <cell r="K18" t="str">
            <v>´- market share deterioration
´- sales reductions
- loss of competitive advantage</v>
          </cell>
          <cell r="L18">
            <v>5</v>
          </cell>
          <cell r="M18">
            <v>15</v>
          </cell>
          <cell r="N18" t="str">
            <v>high</v>
          </cell>
          <cell r="O18" t="str">
            <v>´- Diversification in terms of geographies and industries
- Re-focus of strategy to markets with growth potential (especially in China and India which are the current focus of specific business plans)</v>
          </cell>
          <cell r="P18" t="str">
            <v>Reduced in Q1 due to the consistent satisfactory performance in emergina markets</v>
          </cell>
          <cell r="Q18">
            <v>2</v>
          </cell>
          <cell r="S18">
            <v>4</v>
          </cell>
          <cell r="T18">
            <v>8</v>
          </cell>
          <cell r="U18" t="str">
            <v>medium</v>
          </cell>
          <cell r="V18">
            <v>0</v>
          </cell>
          <cell r="W18">
            <v>0</v>
          </cell>
          <cell r="Y18">
            <v>3</v>
          </cell>
          <cell r="AA18">
            <v>5</v>
          </cell>
          <cell r="AB18">
            <v>15</v>
          </cell>
          <cell r="AC18" t="str">
            <v>high</v>
          </cell>
          <cell r="AF18">
            <v>2</v>
          </cell>
          <cell r="AH18">
            <v>4</v>
          </cell>
          <cell r="AI18">
            <v>8</v>
          </cell>
          <cell r="AJ18" t="str">
            <v>medium</v>
          </cell>
          <cell r="AK18">
            <v>0</v>
          </cell>
          <cell r="AL18">
            <v>0</v>
          </cell>
          <cell r="AM18" t="str">
            <v>Likelihood of new emerging markets shifting the current demand geography is possible</v>
          </cell>
          <cell r="AN18">
            <v>3</v>
          </cell>
          <cell r="AO18" t="str">
            <v>´- market share deterioration
´- sales reductions
- loss of competitive advantage</v>
          </cell>
          <cell r="AP18">
            <v>5</v>
          </cell>
          <cell r="AQ18">
            <v>15</v>
          </cell>
          <cell r="AR18" t="str">
            <v>high</v>
          </cell>
          <cell r="AS18" t="str">
            <v>´- Diversification in terms of geographies and industries
- Re-focus of strategy to markets with growth potential (especially in China and India which are the current focus of specific business plans)</v>
          </cell>
          <cell r="AT18" t="str">
            <v>Reduced in Q1 due to the consistent satisfactory performance in emergina markets</v>
          </cell>
          <cell r="AU18">
            <v>2</v>
          </cell>
          <cell r="AW18">
            <v>4</v>
          </cell>
          <cell r="AX18">
            <v>8</v>
          </cell>
          <cell r="AY18" t="str">
            <v>medium</v>
          </cell>
          <cell r="AZ18">
            <v>-4</v>
          </cell>
          <cell r="BA18">
            <v>-4</v>
          </cell>
          <cell r="BB18" t="str">
            <v>Likelihood of new emerging markets shifting the current demand geography is possible</v>
          </cell>
          <cell r="BC18">
            <v>3</v>
          </cell>
          <cell r="BD18" t="str">
            <v>´- market share deterioration
´- sales reductions
- loss of competitive advantage</v>
          </cell>
          <cell r="BE18">
            <v>5</v>
          </cell>
          <cell r="BF18">
            <v>15</v>
          </cell>
          <cell r="BG18" t="str">
            <v>high</v>
          </cell>
          <cell r="BH18" t="str">
            <v>´- Diversification in terms of geographies and industries
- Re-focus of strategy to markets with growth potential (especially in China and India which are the current focus of specific business plans)</v>
          </cell>
          <cell r="BJ18">
            <v>3</v>
          </cell>
          <cell r="BL18">
            <v>4</v>
          </cell>
          <cell r="BM18">
            <v>12</v>
          </cell>
          <cell r="BN18" t="str">
            <v>high</v>
          </cell>
          <cell r="BO18">
            <v>12</v>
          </cell>
          <cell r="BP18">
            <v>12</v>
          </cell>
          <cell r="BQ18" t="str">
            <v>Likelihood of new emerging markets shifting the current demand geography is possible</v>
          </cell>
          <cell r="BR18">
            <v>3</v>
          </cell>
          <cell r="BS18" t="str">
            <v>´- market share deterioration
´- sales reductions
- loss of competitive advantage</v>
          </cell>
          <cell r="BT18">
            <v>5</v>
          </cell>
          <cell r="BU18">
            <v>15</v>
          </cell>
          <cell r="BV18" t="str">
            <v>high</v>
          </cell>
          <cell r="BW18" t="str">
            <v>´- Diversification in terms of geographies and industries
- Re-focus of strategy to markets with growth potential (especially in China and India which are the current focus of specific business plans)</v>
          </cell>
          <cell r="BY18">
            <v>3</v>
          </cell>
          <cell r="CA18">
            <v>4</v>
          </cell>
          <cell r="CB18">
            <v>12</v>
          </cell>
          <cell r="CC18" t="str">
            <v>high</v>
          </cell>
          <cell r="CD18">
            <v>12</v>
          </cell>
          <cell r="CE18">
            <v>12</v>
          </cell>
          <cell r="CF18" t="str">
            <v>Likelihood of new emerging markets shifting the current demand geography is possible</v>
          </cell>
          <cell r="CG18">
            <v>3</v>
          </cell>
          <cell r="CH18" t="str">
            <v>´- market share deterioration
´- sales reductions
- loss of competitive advantage</v>
          </cell>
          <cell r="CI18">
            <v>5</v>
          </cell>
          <cell r="CJ18">
            <v>15</v>
          </cell>
          <cell r="CK18" t="str">
            <v>high</v>
          </cell>
          <cell r="CL18" t="str">
            <v>´- Diversification in terms of geographies and industries
- Re-focus of strategy to markets with growth potential (especially in China and India which are the current focus of specific business plans)</v>
          </cell>
          <cell r="CN18">
            <v>3</v>
          </cell>
          <cell r="CP18">
            <v>4</v>
          </cell>
          <cell r="CQ18">
            <v>12</v>
          </cell>
          <cell r="CR18" t="str">
            <v>high</v>
          </cell>
          <cell r="CS18">
            <v>0</v>
          </cell>
          <cell r="CT18">
            <v>0</v>
          </cell>
          <cell r="CU18" t="str">
            <v>Likelihood of new emerging markets shifting the current demand geography is possible</v>
          </cell>
          <cell r="CV18">
            <v>3</v>
          </cell>
          <cell r="CW18" t="str">
            <v>´- market share deterioration
´- sales reductions
- loss of competitive advantage</v>
          </cell>
          <cell r="CX18">
            <v>5</v>
          </cell>
          <cell r="CY18">
            <v>15</v>
          </cell>
          <cell r="CZ18" t="str">
            <v>high</v>
          </cell>
          <cell r="DA18" t="str">
            <v>´- Diversification in terms of geographies and industries
- Re-focus of strategy to markets with growth potential (especially in China and India which are the current focus of specific business plans)</v>
          </cell>
          <cell r="DB18">
            <v>3</v>
          </cell>
          <cell r="DC18">
            <v>4</v>
          </cell>
          <cell r="DD18">
            <v>12</v>
          </cell>
          <cell r="DE18" t="str">
            <v>high</v>
          </cell>
          <cell r="DF18">
            <v>0</v>
          </cell>
          <cell r="DG18">
            <v>0</v>
          </cell>
          <cell r="DH18">
            <v>12</v>
          </cell>
          <cell r="DI18" t="str">
            <v>high</v>
          </cell>
          <cell r="DJ18" t="str">
            <v>S. Borgas
G. Franco</v>
          </cell>
          <cell r="DK18" t="str">
            <v>Ulrich Lammer/Simon Kuchelbacher/
Heads of BU</v>
          </cell>
          <cell r="DL18" t="str">
            <v>BMT /EMT</v>
          </cell>
          <cell r="DM18" t="str">
            <v>BoD</v>
          </cell>
        </row>
        <row r="19">
          <cell r="A19">
            <v>14</v>
          </cell>
          <cell r="B19" t="str">
            <v>Finished good inventory levels and ability to react to fluctuations in customer's market demand</v>
          </cell>
          <cell r="C19" t="str">
            <v>Changes in the conditions of both the refractory industry and the customer industry leading to sustained weakness in demand for RHIM products</v>
          </cell>
          <cell r="D19" t="str">
            <v>5 - Reliability of the end-to-end value chain</v>
          </cell>
          <cell r="E19" t="str">
            <v>decrease in demand due to:
- to slow down/crisis of customers industries (i.e. steel production)
- global economy slow down or recession (including cyclical slow down or triggered by  one-off rare events (pandemic, natural disasters, wars)</v>
          </cell>
          <cell r="F19" t="str">
            <v>External</v>
          </cell>
          <cell r="G19" t="e">
            <v>#REF!</v>
          </cell>
          <cell r="H19" t="str">
            <v>Medium</v>
          </cell>
          <cell r="I19" t="str">
            <v>Probable due to current market volatility. Logistic challenges are also influencing the level of finish good stock.</v>
          </cell>
          <cell r="J19">
            <v>4</v>
          </cell>
          <cell r="K19" t="str">
            <v>´- lower sales volumes Leading to lower fixed cost coverage
- margin erosion
- on the long run, liquidity problems
- cash flow deterioration due to high level of finisged good inventory</v>
          </cell>
          <cell r="L19">
            <v>5</v>
          </cell>
          <cell r="M19">
            <v>20</v>
          </cell>
          <cell r="N19" t="str">
            <v>critical</v>
          </cell>
          <cell r="O19" t="str">
            <v>- leading indicators to identify early changes in demand
- increased focus on planning capabilities and end-to-end value chain 
- increase push for customers to pickup finish goods</v>
          </cell>
          <cell r="P19" t="str">
            <v>reduced due to mitigating actions</v>
          </cell>
          <cell r="Q19">
            <v>3</v>
          </cell>
          <cell r="R19" t="str">
            <v>critical impact still possible (level of finished goods keep growing over Q2 and Q3)</v>
          </cell>
          <cell r="S19">
            <v>5</v>
          </cell>
          <cell r="T19">
            <v>15</v>
          </cell>
          <cell r="U19" t="str">
            <v>high</v>
          </cell>
          <cell r="V19">
            <v>0</v>
          </cell>
          <cell r="W19">
            <v>0</v>
          </cell>
          <cell r="Y19">
            <v>3</v>
          </cell>
          <cell r="AA19">
            <v>5</v>
          </cell>
          <cell r="AB19">
            <v>15</v>
          </cell>
          <cell r="AC19" t="str">
            <v>high</v>
          </cell>
          <cell r="AD19" t="str">
            <v>Formerly "Industry risk", this risk has been re-focused on end-customer demand and RHIM ability to forecast demand fluctuations and plan accordingly</v>
          </cell>
          <cell r="AE19" t="str">
            <v>Rating is mainly driven by current levels of finished goods inventory which is unallocated to customers, demonstrating forecasting improvement opportunities</v>
          </cell>
          <cell r="AF19">
            <v>3</v>
          </cell>
          <cell r="AH19">
            <v>5</v>
          </cell>
          <cell r="AI19">
            <v>15</v>
          </cell>
          <cell r="AJ19" t="str">
            <v>high</v>
          </cell>
          <cell r="AK19">
            <v>5</v>
          </cell>
          <cell r="AL19">
            <v>5</v>
          </cell>
          <cell r="AM19" t="str">
            <v>Possible</v>
          </cell>
          <cell r="AN19">
            <v>3</v>
          </cell>
          <cell r="AO19" t="str">
            <v>´- lower sales volumes Leading to lower fixed cost coverage
- margin erosion
- on the long run, liquidity problems</v>
          </cell>
          <cell r="AP19">
            <v>5</v>
          </cell>
          <cell r="AQ19">
            <v>15</v>
          </cell>
          <cell r="AR19" t="str">
            <v>high</v>
          </cell>
          <cell r="AS19" t="str">
            <v xml:space="preserve">strategy focused on increasing market share </v>
          </cell>
          <cell r="AU19">
            <v>2</v>
          </cell>
          <cell r="AW19">
            <v>5</v>
          </cell>
          <cell r="AX19">
            <v>10</v>
          </cell>
          <cell r="AY19" t="str">
            <v>medium</v>
          </cell>
          <cell r="AZ19">
            <v>0</v>
          </cell>
          <cell r="BA19">
            <v>0</v>
          </cell>
          <cell r="BB19" t="str">
            <v>Possible</v>
          </cell>
          <cell r="BC19">
            <v>3</v>
          </cell>
          <cell r="BD19" t="str">
            <v>´- lower sales volumes Leading to lower fixed cost coverage
- margin erosion
- on the long run, liquidity problems</v>
          </cell>
          <cell r="BE19">
            <v>5</v>
          </cell>
          <cell r="BF19">
            <v>15</v>
          </cell>
          <cell r="BG19" t="str">
            <v>high</v>
          </cell>
          <cell r="BH19" t="str">
            <v xml:space="preserve">strategy focused on increasing market share </v>
          </cell>
          <cell r="BJ19">
            <v>2</v>
          </cell>
          <cell r="BL19">
            <v>5</v>
          </cell>
          <cell r="BM19">
            <v>10</v>
          </cell>
          <cell r="BN19" t="str">
            <v>medium</v>
          </cell>
          <cell r="BO19">
            <v>10</v>
          </cell>
          <cell r="BP19">
            <v>10</v>
          </cell>
          <cell r="BQ19" t="str">
            <v>Possible</v>
          </cell>
          <cell r="BR19">
            <v>3</v>
          </cell>
          <cell r="BS19" t="str">
            <v>´- lower sales volumes Leading to lower fixed cost coverage
- margin erosion
- on the long run, liquidity problems</v>
          </cell>
          <cell r="BT19">
            <v>5</v>
          </cell>
          <cell r="BU19">
            <v>15</v>
          </cell>
          <cell r="BV19" t="str">
            <v>high</v>
          </cell>
          <cell r="BW19" t="str">
            <v xml:space="preserve">strategy focused on increasing market share </v>
          </cell>
          <cell r="BY19">
            <v>2</v>
          </cell>
          <cell r="CA19">
            <v>5</v>
          </cell>
          <cell r="CB19">
            <v>10</v>
          </cell>
          <cell r="CC19" t="str">
            <v>medium</v>
          </cell>
          <cell r="CD19">
            <v>10</v>
          </cell>
          <cell r="CE19">
            <v>10</v>
          </cell>
          <cell r="CG19">
            <v>3</v>
          </cell>
          <cell r="CH19" t="str">
            <v>´- lower sales volumes Leading to lower fixed cost coverage
- margin erosion
- on the long run, liquidity problems</v>
          </cell>
          <cell r="CI19">
            <v>5</v>
          </cell>
          <cell r="CJ19">
            <v>15</v>
          </cell>
          <cell r="CK19" t="str">
            <v>high</v>
          </cell>
          <cell r="CN19">
            <v>3</v>
          </cell>
          <cell r="CP19">
            <v>5</v>
          </cell>
          <cell r="CQ19">
            <v>15</v>
          </cell>
          <cell r="CR19" t="str">
            <v>high</v>
          </cell>
          <cell r="CS19">
            <v>0</v>
          </cell>
          <cell r="CT19">
            <v>0</v>
          </cell>
          <cell r="CV19">
            <v>3</v>
          </cell>
          <cell r="CW19" t="str">
            <v>´- lower sales volumes Leading to lower fixed cost coverage
- margin erosion
- on the long run, liquidity problems</v>
          </cell>
          <cell r="CX19">
            <v>5</v>
          </cell>
          <cell r="CY19">
            <v>15</v>
          </cell>
          <cell r="CZ19" t="str">
            <v>high</v>
          </cell>
          <cell r="DB19">
            <v>3</v>
          </cell>
          <cell r="DC19">
            <v>5</v>
          </cell>
          <cell r="DD19">
            <v>15</v>
          </cell>
          <cell r="DE19" t="str">
            <v>high</v>
          </cell>
          <cell r="DF19">
            <v>0</v>
          </cell>
          <cell r="DG19">
            <v>0</v>
          </cell>
          <cell r="DH19">
            <v>15</v>
          </cell>
          <cell r="DI19" t="str">
            <v>high</v>
          </cell>
          <cell r="DJ19" t="str">
            <v>G. Franco</v>
          </cell>
          <cell r="DK19" t="str">
            <v>various</v>
          </cell>
          <cell r="DL19" t="str">
            <v>EMT</v>
          </cell>
          <cell r="DM19" t="str">
            <v>BoD</v>
          </cell>
        </row>
        <row r="20">
          <cell r="A20">
            <v>15</v>
          </cell>
          <cell r="B20" t="str">
            <v>Country risk</v>
          </cell>
          <cell r="C20" t="str">
            <v xml:space="preserve">Adverse changes in country risk, including political, legislative and regulatory developments, impacting RHIM operations or market demand for RHIM products  </v>
          </cell>
          <cell r="D20" t="str">
            <v>1 - Macroeconomic environment and condition of customer industries leading to significant sales volume reductions</v>
          </cell>
          <cell r="E20" t="str">
            <v>´- adverse political developments (including changes in public spending decisions, political instability)
- changes in international trading relationships (tariffs and evolution of trade treaties can impact the Group's ability to sell to certain markets)
- legislative and regulatory developments (refer to risk 17)
- includes also considerations around China's political evolution towards foreign productions</v>
          </cell>
          <cell r="F20" t="str">
            <v>External</v>
          </cell>
          <cell r="G20" t="e">
            <v>#REF!</v>
          </cell>
          <cell r="H20" t="str">
            <v>High</v>
          </cell>
          <cell r="I20" t="str">
            <v>Unilikely restrictions to trading with cetrtain countries, like it was done for Iran</v>
          </cell>
          <cell r="J20">
            <v>2</v>
          </cell>
          <cell r="K20" t="str">
            <v>´- inability to sell in certain markets
- loss of licence/inability to operate in certain countries
-expropriation/freeze of company assets
- potential customers insolvency</v>
          </cell>
          <cell r="L20">
            <v>5</v>
          </cell>
          <cell r="M20">
            <v>10</v>
          </cell>
          <cell r="N20" t="str">
            <v>medium</v>
          </cell>
          <cell r="O20" t="str">
            <v>´- Diversification in terms of geographies and industries
- Monitoring of political and legislative developments
- Credit insurance covers political risks within the credit limit assigned to each customer</v>
          </cell>
          <cell r="Q20">
            <v>2</v>
          </cell>
          <cell r="S20">
            <v>5</v>
          </cell>
          <cell r="T20">
            <v>10</v>
          </cell>
          <cell r="U20" t="str">
            <v>medium</v>
          </cell>
          <cell r="V20">
            <v>0</v>
          </cell>
          <cell r="W20">
            <v>0</v>
          </cell>
          <cell r="Y20">
            <v>2</v>
          </cell>
          <cell r="AA20">
            <v>5</v>
          </cell>
          <cell r="AB20">
            <v>10</v>
          </cell>
          <cell r="AC20" t="str">
            <v>medium</v>
          </cell>
          <cell r="AF20">
            <v>2</v>
          </cell>
          <cell r="AH20">
            <v>5</v>
          </cell>
          <cell r="AI20">
            <v>10</v>
          </cell>
          <cell r="AJ20" t="str">
            <v>medium</v>
          </cell>
          <cell r="AK20">
            <v>0</v>
          </cell>
          <cell r="AL20">
            <v>0</v>
          </cell>
          <cell r="AM20" t="str">
            <v>Unilikely restrictions to trading with cetrtain countries, like it was done for Iran</v>
          </cell>
          <cell r="AN20">
            <v>2</v>
          </cell>
          <cell r="AO20" t="str">
            <v>´- inability to sell in certain markets
- loss of licence/inability to operate in certain countries
-expropriation/freeze of company assets
- potential customers insolvency</v>
          </cell>
          <cell r="AP20">
            <v>5</v>
          </cell>
          <cell r="AQ20">
            <v>10</v>
          </cell>
          <cell r="AR20" t="str">
            <v>medium</v>
          </cell>
          <cell r="AS20" t="str">
            <v>´- Diversification in terms of geographies and industries
- Monitoring of political and legislative developments
- Credit insurance covers political risks within the credit limit assigned to each customer</v>
          </cell>
          <cell r="AU20">
            <v>2</v>
          </cell>
          <cell r="AW20">
            <v>5</v>
          </cell>
          <cell r="AX20">
            <v>10</v>
          </cell>
          <cell r="AY20" t="str">
            <v>medium</v>
          </cell>
          <cell r="AZ20">
            <v>0</v>
          </cell>
          <cell r="BA20">
            <v>0</v>
          </cell>
          <cell r="BB20" t="str">
            <v>Unilikely restrictions to trading with cetrtain countries, like it was done for Iran</v>
          </cell>
          <cell r="BC20">
            <v>2</v>
          </cell>
          <cell r="BD20" t="str">
            <v>´- inability to sell in certain markets
- loss of licence/inability to operate in certain countries
-expropriation/freeze of company assets
- potential customers insolvency</v>
          </cell>
          <cell r="BE20">
            <v>5</v>
          </cell>
          <cell r="BF20">
            <v>10</v>
          </cell>
          <cell r="BG20" t="str">
            <v>medium</v>
          </cell>
          <cell r="BH20" t="str">
            <v>´- Diversification in terms of geographies and industries
- Monitoring of political and legislative developments
- Credit insurance covers political risks within the credit limit assigned to each customer</v>
          </cell>
          <cell r="BJ20">
            <v>2</v>
          </cell>
          <cell r="BL20">
            <v>5</v>
          </cell>
          <cell r="BM20">
            <v>10</v>
          </cell>
          <cell r="BN20" t="str">
            <v>medium</v>
          </cell>
          <cell r="BO20">
            <v>10</v>
          </cell>
          <cell r="BP20">
            <v>10</v>
          </cell>
          <cell r="BQ20" t="str">
            <v>Unilikely restrictions to trading with cetrtain countries, like it was done for Iran</v>
          </cell>
          <cell r="BR20">
            <v>2</v>
          </cell>
          <cell r="BS20" t="str">
            <v>´- inability to sell in certain markets
- loss of licence/inability to operate in certain countries
-expropriation/freeze of company assets
- potential customers insolvency</v>
          </cell>
          <cell r="BT20">
            <v>5</v>
          </cell>
          <cell r="BU20">
            <v>10</v>
          </cell>
          <cell r="BV20" t="str">
            <v>medium</v>
          </cell>
          <cell r="BW20" t="str">
            <v>´- Diversification in terms of geographies and industries
- Monitoring of political and legislative developments
- Credit insurance covers political risks within the credit limit assigned to each customer</v>
          </cell>
          <cell r="BY20">
            <v>2</v>
          </cell>
          <cell r="CA20">
            <v>5</v>
          </cell>
          <cell r="CB20">
            <v>10</v>
          </cell>
          <cell r="CC20" t="str">
            <v>medium</v>
          </cell>
          <cell r="CD20">
            <v>10</v>
          </cell>
          <cell r="CE20">
            <v>10</v>
          </cell>
          <cell r="CF20" t="str">
            <v>Unilikely restrictions to trading with cetrtain countries, like it was done for Iran</v>
          </cell>
          <cell r="CG20">
            <v>2</v>
          </cell>
          <cell r="CH20" t="str">
            <v>´- inability to sell in certain markets
- loss of licence/inability to operate in certain countries
-expropriation/freeze of company assets
- potential customers insolvency</v>
          </cell>
          <cell r="CI20">
            <v>5</v>
          </cell>
          <cell r="CJ20">
            <v>10</v>
          </cell>
          <cell r="CK20" t="str">
            <v>medium</v>
          </cell>
          <cell r="CL20" t="str">
            <v>´- Diversification in terms of geographies and industries
- Monitoring of political and legislative developments
- Credit insurance covers political risks within the credit limit assigned to each customer</v>
          </cell>
          <cell r="CN20">
            <v>2</v>
          </cell>
          <cell r="CP20">
            <v>5</v>
          </cell>
          <cell r="CQ20">
            <v>10</v>
          </cell>
          <cell r="CR20" t="str">
            <v>medium</v>
          </cell>
          <cell r="CS20">
            <v>-2</v>
          </cell>
          <cell r="CT20">
            <v>-2</v>
          </cell>
          <cell r="CU20" t="str">
            <v>Original likelihood was 3 (possible). The likelihood is now increased from "possible" to "very likely" as the likelihood of government closing down plants crystalized in Q1 2020 with Coronavirus global pandemic in certain countries.</v>
          </cell>
          <cell r="CV20">
            <v>4</v>
          </cell>
          <cell r="CW20" t="str">
            <v>´- inability to sell in certain markets
- loss of licence/inability to operate in certain countries
-expropriation/freeze of company assets
- potential customers insolvency</v>
          </cell>
          <cell r="CX20">
            <v>5</v>
          </cell>
          <cell r="CY20">
            <v>20</v>
          </cell>
          <cell r="CZ20" t="str">
            <v>critical</v>
          </cell>
          <cell r="DA20" t="str">
            <v>´- Diversification in terms of geographies and industries
- Monitoring of political and legislative developments
- Credit insurance covers political risks within the credit limit assigned to each customer</v>
          </cell>
          <cell r="DB20">
            <v>4</v>
          </cell>
          <cell r="DC20">
            <v>3</v>
          </cell>
          <cell r="DD20">
            <v>12</v>
          </cell>
          <cell r="DE20" t="str">
            <v>high</v>
          </cell>
          <cell r="DF20">
            <v>3</v>
          </cell>
          <cell r="DG20">
            <v>3</v>
          </cell>
          <cell r="DH20">
            <v>9</v>
          </cell>
          <cell r="DI20" t="str">
            <v>medium</v>
          </cell>
          <cell r="DJ20" t="str">
            <v>S. Borgas</v>
          </cell>
          <cell r="DK20" t="str">
            <v>Felix Warmuth, Ulrich Lammer, Christian Viehweger</v>
          </cell>
          <cell r="DL20" t="str">
            <v>BMT /EMT</v>
          </cell>
          <cell r="DM20" t="str">
            <v>BoD</v>
          </cell>
        </row>
        <row r="21">
          <cell r="A21">
            <v>16</v>
          </cell>
          <cell r="B21" t="str">
            <v>Environment &amp; Climate</v>
          </cell>
          <cell r="C21" t="str">
            <v>Inability to comply with sustainability targets /  shifts in environmental, social and governance preferences and expectations / increasing regulatory pressure</v>
          </cell>
          <cell r="D21" t="str">
            <v>6 - Sustainability - Environmental and climate risks</v>
          </cell>
          <cell r="E21" t="str">
            <v>´- uncontrolled emissions of production process
- usage of potentially hazardous materials during production process
- existing and new environmental regulations
- increased attention to environmental impact from investors and other key stakeholders (employees, clients, suppliers, general public)</v>
          </cell>
          <cell r="F21" t="str">
            <v>Internal</v>
          </cell>
          <cell r="G21" t="e">
            <v>#REF!</v>
          </cell>
          <cell r="H21" t="str">
            <v>Medium</v>
          </cell>
          <cell r="I21" t="str">
            <v>Critical due to the ever increasing attention on the topic, tightening in regulations, and the nature of our/our clients industry.</v>
          </cell>
          <cell r="J21">
            <v>5</v>
          </cell>
          <cell r="K21" t="str">
            <v>´´- high financial losses and liabilities
- damage to company reputation
- decreased appealing for investors
- loss of customers</v>
          </cell>
          <cell r="L21">
            <v>4</v>
          </cell>
          <cell r="M21">
            <v>20</v>
          </cell>
          <cell r="N21" t="str">
            <v>critical</v>
          </cell>
          <cell r="O21" t="str">
            <v>´- Recycling strategy
- CO2 reduction strategy
- SOX, NOX emissions reduction strategy
- Energy efficiency strategy
- Environmental audits and risk monitoring at all sites
- Sustainability Committee supported by focused management efforts
- 4 out of 5 "speedboat" initiatives are aimed to reduce environmental impact of production
- monitoring on ESG landscape evolution</v>
          </cell>
          <cell r="P21" t="str">
            <v>likelihood reduced by existing risk mitigating initiatives</v>
          </cell>
          <cell r="Q21">
            <v>3</v>
          </cell>
          <cell r="R21" t="str">
            <v>impact can still be significant</v>
          </cell>
          <cell r="S21">
            <v>4</v>
          </cell>
          <cell r="T21">
            <v>12</v>
          </cell>
          <cell r="U21" t="str">
            <v>high</v>
          </cell>
          <cell r="V21">
            <v>0</v>
          </cell>
          <cell r="W21">
            <v>0</v>
          </cell>
          <cell r="Y21">
            <v>5</v>
          </cell>
          <cell r="AA21">
            <v>4</v>
          </cell>
          <cell r="AB21">
            <v>20</v>
          </cell>
          <cell r="AC21" t="str">
            <v>critical</v>
          </cell>
          <cell r="AF21">
            <v>3</v>
          </cell>
          <cell r="AH21">
            <v>4</v>
          </cell>
          <cell r="AI21">
            <v>12</v>
          </cell>
          <cell r="AJ21" t="str">
            <v>high</v>
          </cell>
          <cell r="AK21">
            <v>0</v>
          </cell>
          <cell r="AL21">
            <v>0</v>
          </cell>
          <cell r="AM21" t="str">
            <v>Critical due to the ever increasing attention on the topic, tightening in regulations, and the nature of our/our clients industry.</v>
          </cell>
          <cell r="AN21">
            <v>5</v>
          </cell>
          <cell r="AO21" t="str">
            <v>´´- high financial losses and liabilities
- damage to company reputation
- decreased appealing for investors
- loss of customers</v>
          </cell>
          <cell r="AP21">
            <v>4</v>
          </cell>
          <cell r="AQ21">
            <v>20</v>
          </cell>
          <cell r="AR21" t="str">
            <v>critical</v>
          </cell>
          <cell r="AS21" t="str">
            <v>´- Recycling strategy
- CO2 reduction strategy
- SOX, NOX emissions reduction strategy
- Energy efficiency strategy
- Environmental audits and risk monitoring at all sites
- Sustainability Committee supported by focused management efforts
- 4 out of 5 "speedboat" initiatives are aimed to reduce environmental impact of production</v>
          </cell>
          <cell r="AT21" t="str">
            <v>The upward risk score adjustment is trigger by the detailed sustainability risk assessment. This is an area of ever-growing attention, currently matched by significant initiatives.
Inherent risk is evaluated to be critical for RHIM, however significant risk mitigating initiatives are ongoing (e.g. project GREEN, internal carbon pricing, increased awareness, CO2 targets linked to bonus payout).</v>
          </cell>
          <cell r="AU21">
            <v>3</v>
          </cell>
          <cell r="AV21" t="str">
            <v>The upward risk score adjustment is trigger by the detailed sustainability risk assessment. This is an area of ever-growing attention, currently matched by significant initiatives.
Inherent risk is evaluated to be critical for RHIM, however significant risk mitigating initiatives are ongoing (e.g. project GREEN, internal carbon pricing, increased awareness, CO2 targets linked to bonus payout).</v>
          </cell>
          <cell r="AW21">
            <v>4</v>
          </cell>
          <cell r="AX21">
            <v>12</v>
          </cell>
          <cell r="AY21" t="str">
            <v>high</v>
          </cell>
          <cell r="AZ21">
            <v>2</v>
          </cell>
          <cell r="BA21">
            <v>2</v>
          </cell>
          <cell r="BB21" t="str">
            <v>Critical due to the ever increasing attention on the topic, tightening in regulations, and the nature of our/our clients industry.</v>
          </cell>
          <cell r="BC21">
            <v>3</v>
          </cell>
          <cell r="BD21" t="str">
            <v>´´- high financial losses and liabilities
- damage to company reputation
- decreased appealing for investors
- loss of customers</v>
          </cell>
          <cell r="BE21">
            <v>5</v>
          </cell>
          <cell r="BF21">
            <v>15</v>
          </cell>
          <cell r="BG21" t="str">
            <v>high</v>
          </cell>
          <cell r="BH21" t="str">
            <v>´- Recycling strategy
- CO2 reduction strategy
- SOX, NOX emissions reduction strategy
- Energy efficiency strategy
- Environmental audits and risk monitoring at all sites
- Sustainability Committee supported by focused management efforts
- 4 out of 5 "speedboat" initiatives are aimed to reduce environmental impact of production</v>
          </cell>
          <cell r="BJ21">
            <v>2</v>
          </cell>
          <cell r="BL21">
            <v>5</v>
          </cell>
          <cell r="BM21">
            <v>10</v>
          </cell>
          <cell r="BN21" t="str">
            <v>medium</v>
          </cell>
          <cell r="BO21">
            <v>10</v>
          </cell>
          <cell r="BP21">
            <v>10</v>
          </cell>
          <cell r="BQ21" t="str">
            <v>Critical due to the ever increasing attention on the topic, tightening in regulations, and the nature of our/our clients industry.</v>
          </cell>
          <cell r="BR21">
            <v>3</v>
          </cell>
          <cell r="BS21" t="str">
            <v>´´- high financial losses and liabilities
- damage to company reputation
- decreased appealing for investors
- loss of customers</v>
          </cell>
          <cell r="BT21">
            <v>5</v>
          </cell>
          <cell r="BU21">
            <v>15</v>
          </cell>
          <cell r="BV21" t="str">
            <v>high</v>
          </cell>
          <cell r="BW21" t="str">
            <v>´- Recycling strategy
- CO2 reduction strategy
- SOX, NOX emissions reduction strategy
- Energy efficiency strategy
- Environmental audits and risk monitoring at all sites
- Sustainability Committee supported by focused management efforts
- 4 out of 5 "speedboat" initiatives are aimed to reduce environmental impact of production</v>
          </cell>
          <cell r="BY21">
            <v>2</v>
          </cell>
          <cell r="CA21">
            <v>5</v>
          </cell>
          <cell r="CB21">
            <v>10</v>
          </cell>
          <cell r="CC21" t="str">
            <v>medium</v>
          </cell>
          <cell r="CD21">
            <v>10</v>
          </cell>
          <cell r="CE21">
            <v>10</v>
          </cell>
          <cell r="CF21" t="str">
            <v>Critical due to the ever increasing attention on the topic, tightening in regulations, and the nature of our/our clients industry.</v>
          </cell>
          <cell r="CG21">
            <v>5</v>
          </cell>
          <cell r="CH21" t="str">
            <v>´´- high financial losses and liabilities
- damage to company reputation
- decreased appealing for investors
- loss of customers</v>
          </cell>
          <cell r="CI21">
            <v>4</v>
          </cell>
          <cell r="CJ21">
            <v>20</v>
          </cell>
          <cell r="CK21" t="str">
            <v>critical</v>
          </cell>
          <cell r="CL21" t="str">
            <v>´- Recycling strategy
- CO2 reduction strategy
- SOX, NOX emissions reduction strategy
- Energy efficiency strategy
- Environmental audits and risk monitoring at all sites
- Sustainability Committee supported by focused management efforts
- 4 out of 5 "speedboat" initiatives are aimed to reduce environmental impact of production</v>
          </cell>
          <cell r="CN21">
            <v>4</v>
          </cell>
          <cell r="CP21">
            <v>3</v>
          </cell>
          <cell r="CQ21">
            <v>12</v>
          </cell>
          <cell r="CR21" t="str">
            <v>high</v>
          </cell>
          <cell r="CS21">
            <v>0</v>
          </cell>
          <cell r="CT21">
            <v>0</v>
          </cell>
          <cell r="CU21" t="str">
            <v>Critical due to the ever increasing attention on the topic, tightening in regulations, and the nature of our/our clients industry.</v>
          </cell>
          <cell r="CV21">
            <v>5</v>
          </cell>
          <cell r="CW21" t="str">
            <v>´´- high financial losses and liabilities
- damage to company reputation
- decreased appealing for investors
- loss of customers</v>
          </cell>
          <cell r="CX21">
            <v>4</v>
          </cell>
          <cell r="CY21">
            <v>20</v>
          </cell>
          <cell r="CZ21" t="str">
            <v>critical</v>
          </cell>
          <cell r="DA21" t="str">
            <v>´- Recycling strategy
- CO2 reduction strategy
- SOX, NOX emissions reduction strategy
- Energy efficiency strategy
- Environmental audits and risk monitoring at all sites
- Sustainability Committee supported by focused management efforts
- 4 out of 5 "speedboat" initiatives are aimed to reduce environmental impact of production</v>
          </cell>
          <cell r="DB21">
            <v>4</v>
          </cell>
          <cell r="DC21">
            <v>3</v>
          </cell>
          <cell r="DD21">
            <v>12</v>
          </cell>
          <cell r="DE21" t="str">
            <v>high</v>
          </cell>
          <cell r="DF21">
            <v>0</v>
          </cell>
          <cell r="DG21">
            <v>0</v>
          </cell>
          <cell r="DH21">
            <v>12</v>
          </cell>
          <cell r="DI21" t="str">
            <v>high</v>
          </cell>
          <cell r="DJ21" t="str">
            <v>L. Bittencourt</v>
          </cell>
          <cell r="DK21" t="str">
            <v>Martin Pischler</v>
          </cell>
          <cell r="DL21" t="str">
            <v>Sustainability Steering Committee</v>
          </cell>
          <cell r="DM21" t="str">
            <v>Sustainability Board Committee</v>
          </cell>
        </row>
        <row r="22">
          <cell r="A22">
            <v>17</v>
          </cell>
          <cell r="B22" t="str">
            <v xml:space="preserve">Inability to differentiate product offering. </v>
          </cell>
          <cell r="C22" t="str">
            <v xml:space="preserve">Inability to differentiate product offering. Inability to innovate leading to substitution of products and services. </v>
          </cell>
          <cell r="D22" t="str">
            <v>4 - Significant changes in the competitive environment or speed of disruptive innovation</v>
          </cell>
          <cell r="E22" t="str">
            <v>´- Customers become more sensitive to prices than to quality
- New substitute products (based on different materials) are brought on the market which will commoditize the product portfolio
- Inability to leverage digitalization
- RHIM products are not relevant anymore (e.g. due to changes in production methods adopted by customers)
- Competitors are more agile and faster to respond to changing customer requirements
- Inability to bring new products to the market</v>
          </cell>
          <cell r="F22" t="str">
            <v>Both</v>
          </cell>
          <cell r="G22" t="e">
            <v>#REF!</v>
          </cell>
          <cell r="H22" t="str">
            <v>Low</v>
          </cell>
          <cell r="I22" t="str">
            <v>Possible</v>
          </cell>
          <cell r="J22">
            <v>3</v>
          </cell>
          <cell r="K22" t="str">
            <v>´- Erosion of competitive position
- Loss of sales volume and/or impact on the selling price
- Margin erosion
- Erosion of market share</v>
          </cell>
          <cell r="L22">
            <v>5</v>
          </cell>
          <cell r="M22">
            <v>15</v>
          </cell>
          <cell r="N22" t="str">
            <v>high</v>
          </cell>
          <cell r="O22" t="str">
            <v>´- "end-to-end" solutions to differentiate the offering and defend margins
- digitalization to differentiate products
- establishment of fast-acting local R&amp;D structure in all major markets
- Continued investment in R&amp;D
- focus development activity on “speedboat” projects aimed at agile and fast impact on the market</v>
          </cell>
          <cell r="Q22">
            <v>3</v>
          </cell>
          <cell r="S22">
            <v>3</v>
          </cell>
          <cell r="T22">
            <v>9</v>
          </cell>
          <cell r="U22" t="str">
            <v>medium</v>
          </cell>
          <cell r="V22">
            <v>0</v>
          </cell>
          <cell r="W22">
            <v>0</v>
          </cell>
          <cell r="Y22">
            <v>3</v>
          </cell>
          <cell r="AA22">
            <v>5</v>
          </cell>
          <cell r="AB22">
            <v>15</v>
          </cell>
          <cell r="AC22" t="str">
            <v>high</v>
          </cell>
          <cell r="AF22">
            <v>3</v>
          </cell>
          <cell r="AH22">
            <v>3</v>
          </cell>
          <cell r="AI22">
            <v>9</v>
          </cell>
          <cell r="AJ22" t="str">
            <v>medium</v>
          </cell>
          <cell r="AK22">
            <v>0</v>
          </cell>
          <cell r="AL22">
            <v>0</v>
          </cell>
          <cell r="AM22" t="str">
            <v>Possible</v>
          </cell>
          <cell r="AN22">
            <v>3</v>
          </cell>
          <cell r="AO22" t="str">
            <v>´- Erosion of competitive position
- Loss of sales volume and/or impact on the selling price
- Margin erosion
- Erosion of market share</v>
          </cell>
          <cell r="AP22">
            <v>5</v>
          </cell>
          <cell r="AQ22">
            <v>15</v>
          </cell>
          <cell r="AR22" t="str">
            <v>high</v>
          </cell>
          <cell r="AS22" t="str">
            <v>´- "end-to-end" solutions to differentiate the offering and defend margins
- digitalization to differentiate products
- establishment of fast-acting local R&amp;D structure in all major markets
- Continued investment in R&amp;D
- focus development activity on “speedboat” projects aimed at agile and fast impact on the market</v>
          </cell>
          <cell r="AU22">
            <v>3</v>
          </cell>
          <cell r="AW22">
            <v>3</v>
          </cell>
          <cell r="AX22">
            <v>9</v>
          </cell>
          <cell r="AY22" t="str">
            <v>medium</v>
          </cell>
          <cell r="AZ22">
            <v>0</v>
          </cell>
          <cell r="BA22">
            <v>0</v>
          </cell>
          <cell r="BB22" t="str">
            <v>Possible</v>
          </cell>
          <cell r="BC22">
            <v>3</v>
          </cell>
          <cell r="BD22" t="str">
            <v>´- Erosion of competitive position
- Loss of sales volume and/or impact on the selling price
- Margin erosion
- Erosion of market share</v>
          </cell>
          <cell r="BE22">
            <v>5</v>
          </cell>
          <cell r="BF22">
            <v>15</v>
          </cell>
          <cell r="BG22" t="str">
            <v>high</v>
          </cell>
          <cell r="BH22" t="str">
            <v>´- "end-to-end" solutions to differentiate the offering and defend margins
- digitalization to differentiate products
- establishment of fast-acting local R&amp;D structure in all major markets
- Continued investment in R&amp;D
- focus development activity on “speedboat” projects aimed at agile and fast impact on the market</v>
          </cell>
          <cell r="BJ22">
            <v>3</v>
          </cell>
          <cell r="BL22">
            <v>3</v>
          </cell>
          <cell r="BM22">
            <v>9</v>
          </cell>
          <cell r="BN22" t="str">
            <v>medium</v>
          </cell>
          <cell r="BO22">
            <v>9</v>
          </cell>
          <cell r="BP22">
            <v>9</v>
          </cell>
          <cell r="BQ22" t="str">
            <v>Possible</v>
          </cell>
          <cell r="BR22">
            <v>3</v>
          </cell>
          <cell r="BS22" t="str">
            <v>´- Erosion of competitive position
- Loss of sales volume and/or impact on the selling price
- Margin erosion
- Erosion of market share</v>
          </cell>
          <cell r="BT22">
            <v>5</v>
          </cell>
          <cell r="BU22">
            <v>15</v>
          </cell>
          <cell r="BV22" t="str">
            <v>high</v>
          </cell>
          <cell r="BW22" t="str">
            <v>´- "end-to-end" solutions to differentiate the offering and defend margins
- digitalization to differentiate products
- establishment of fast-acting local R&amp;D structure in all major markets
- Continued investment in R&amp;D
- focus development activity on “speedboat” projects aimed at agile and fast impact on the market</v>
          </cell>
          <cell r="BY22">
            <v>3</v>
          </cell>
          <cell r="CA22">
            <v>3</v>
          </cell>
          <cell r="CB22">
            <v>9</v>
          </cell>
          <cell r="CC22" t="str">
            <v>medium</v>
          </cell>
          <cell r="CD22">
            <v>9</v>
          </cell>
          <cell r="CE22">
            <v>9</v>
          </cell>
          <cell r="CF22" t="str">
            <v>Possible</v>
          </cell>
          <cell r="CG22">
            <v>3</v>
          </cell>
          <cell r="CH22" t="str">
            <v>´- Erosion of competitive position
- Loss of sales volume and/or impact on the selling price
- Margin erosion
- Erosion of market share</v>
          </cell>
          <cell r="CI22">
            <v>5</v>
          </cell>
          <cell r="CJ22">
            <v>15</v>
          </cell>
          <cell r="CK22" t="str">
            <v>high</v>
          </cell>
          <cell r="CL22" t="str">
            <v>´- "end-to-end" solutions to differentiate the offering and defend margins
- digitalization to differentiate products
- establishment of fast-acting local R&amp;D structure in all major markets
- Continued investment in R&amp;D
- focus development activity on “speedboat” projects aimed at agile and fast impact on the market</v>
          </cell>
          <cell r="CN22">
            <v>3</v>
          </cell>
          <cell r="CP22">
            <v>3</v>
          </cell>
          <cell r="CQ22">
            <v>9</v>
          </cell>
          <cell r="CR22" t="str">
            <v>medium</v>
          </cell>
          <cell r="CS22">
            <v>0</v>
          </cell>
          <cell r="CT22">
            <v>0</v>
          </cell>
          <cell r="CU22" t="str">
            <v>Possible</v>
          </cell>
          <cell r="CV22">
            <v>3</v>
          </cell>
          <cell r="CW22" t="str">
            <v xml:space="preserve">´- Erosion of competitive position
- Loss of sales volume and/or impact on the selling price
- Margin erosion
</v>
          </cell>
          <cell r="CX22">
            <v>5</v>
          </cell>
          <cell r="CY22">
            <v>15</v>
          </cell>
          <cell r="CZ22" t="str">
            <v>high</v>
          </cell>
          <cell r="DA22" t="str">
            <v>´- "end-to-end" solutions to differentiate the offering and defend margins
- digitalization to differentiate products
- establishment of fast-acting local R&amp;D structure in all major markets
- Continued investment in R&amp;D
- focus development activity on “speedboat” projects aimed at agile and fast impact on the market</v>
          </cell>
          <cell r="DB22">
            <v>3</v>
          </cell>
          <cell r="DC22">
            <v>3</v>
          </cell>
          <cell r="DD22">
            <v>9</v>
          </cell>
          <cell r="DE22" t="str">
            <v>medium</v>
          </cell>
          <cell r="DF22">
            <v>0</v>
          </cell>
          <cell r="DG22">
            <v>0</v>
          </cell>
          <cell r="DH22">
            <v>9</v>
          </cell>
          <cell r="DI22" t="str">
            <v>medium</v>
          </cell>
          <cell r="DJ22" t="str">
            <v>G. Franco</v>
          </cell>
          <cell r="DK22" t="str">
            <v>Celso Freitas/BU leaders\</v>
          </cell>
          <cell r="DL22" t="str">
            <v>BMT /EMT</v>
          </cell>
          <cell r="DM22" t="str">
            <v>BoD</v>
          </cell>
        </row>
        <row r="23">
          <cell r="A23">
            <v>18</v>
          </cell>
          <cell r="B23" t="str">
            <v>Product quality</v>
          </cell>
          <cell r="C23" t="str">
            <v xml:space="preserve">Product quality failure, product liability claims (Cost-Quality-Risk) </v>
          </cell>
          <cell r="D23" t="str">
            <v>not included in principal risks</v>
          </cell>
          <cell r="E23" t="str">
            <v xml:space="preserve">´- Low raw material quality
- Process related issues (coming from machines, or transport within the factory)
- Production changeovers/switches
- Recipes (e.g. lower grade products are used instead of higher grade ones)
- Lack of knowledge of the workers
</v>
          </cell>
          <cell r="F23" t="str">
            <v>Internal</v>
          </cell>
          <cell r="G23" t="e">
            <v>#REF!</v>
          </cell>
          <cell r="H23" t="str">
            <v>Medium</v>
          </cell>
          <cell r="I23" t="str">
            <v>risk is inherent to the business and the complexity of RHIM product. transfers of production volume between factories could increase the likelihood of risk crystalizing</v>
          </cell>
          <cell r="J23">
            <v>4</v>
          </cell>
          <cell r="K23" t="str">
            <v>´- Failure of product at a customer incurring consequential loss
- Loss in reputation for high quality
- Financial reparation for product quality failures
- higher COGS (due to higher scrap rate)</v>
          </cell>
          <cell r="L23">
            <v>4</v>
          </cell>
          <cell r="M23">
            <v>16</v>
          </cell>
          <cell r="N23" t="str">
            <v>high</v>
          </cell>
          <cell r="O23" t="str">
            <v>´- Specialist quality management teams and quality management system covering all production
- Quality testing of products at all stages of production
- Exhaustive testing of new products
- Re-fresh and enhancement of procedures for transfer of production between factories (including risk assessment)
- Insurance covering damages to 3rd party property or people caused by our products (under property and product liability - up to 100m with 50K excess, usual claims for less than 1m) and related legal costs (under legal insurance)</v>
          </cell>
          <cell r="P23" t="str">
            <v>The Likelihood of a significant (up to 48m EBITA) impact now being estimated as unlikely (below 40%)</v>
          </cell>
          <cell r="Q23">
            <v>2</v>
          </cell>
          <cell r="R23" t="str">
            <v>The Likelihood of a significant (up to 48m EBITA) impact now being estimated as unlikely (below 40%)</v>
          </cell>
          <cell r="S23">
            <v>4</v>
          </cell>
          <cell r="T23">
            <v>8</v>
          </cell>
          <cell r="U23" t="str">
            <v>medium</v>
          </cell>
          <cell r="V23">
            <v>0</v>
          </cell>
          <cell r="W23">
            <v>0</v>
          </cell>
          <cell r="Y23">
            <v>4</v>
          </cell>
          <cell r="AA23">
            <v>4</v>
          </cell>
          <cell r="AB23">
            <v>16</v>
          </cell>
          <cell r="AC23" t="str">
            <v>high</v>
          </cell>
          <cell r="AE23" t="str">
            <v>The Likelihood of a significant (up to 48m EBITA) impact now being estimated as unlikely (below 40%)</v>
          </cell>
          <cell r="AF23">
            <v>2</v>
          </cell>
          <cell r="AH23">
            <v>4</v>
          </cell>
          <cell r="AI23">
            <v>8</v>
          </cell>
          <cell r="AJ23" t="str">
            <v>medium</v>
          </cell>
          <cell r="AK23">
            <v>-4</v>
          </cell>
          <cell r="AL23">
            <v>-4</v>
          </cell>
          <cell r="AM23" t="str">
            <v>transfers of production volume between factories could increase the likelihood of risk crystalizing</v>
          </cell>
          <cell r="AN23">
            <v>4</v>
          </cell>
          <cell r="AO23" t="str">
            <v>´- Failure of product at a customer incurring consequential loss
- Loss in reputation for high quality
- Financial reparation for product quality failures
- higher COGS (due to higher scrap rate)</v>
          </cell>
          <cell r="AP23">
            <v>4</v>
          </cell>
          <cell r="AQ23">
            <v>16</v>
          </cell>
          <cell r="AR23" t="str">
            <v>high</v>
          </cell>
          <cell r="AS23" t="str">
            <v>´- Specialist quality management teams and quality management system covering all production
- Quality testing of products at all stages of production
- Exhaustive testing of new products
- Re-fresh and enhancement of procedures for transfer of production between factories (including risk assessment)
- Insurance covering damages to 3rd party property or people caused by our products (under property and product liability - up to 100m with 50K excess, usual claims for less than 1m) and related legal costs (under legal insurance)</v>
          </cell>
          <cell r="AU23">
            <v>3</v>
          </cell>
          <cell r="AW23">
            <v>4</v>
          </cell>
          <cell r="AX23">
            <v>12</v>
          </cell>
          <cell r="AY23" t="str">
            <v>high</v>
          </cell>
          <cell r="AZ23">
            <v>0</v>
          </cell>
          <cell r="BA23">
            <v>0</v>
          </cell>
          <cell r="BB23" t="str">
            <v>transfers of production volume between factories could increase the likelihood of risk crystalizing</v>
          </cell>
          <cell r="BC23">
            <v>4</v>
          </cell>
          <cell r="BD23" t="str">
            <v>´- Failure of product at a customer incurring consequential loss
- Loss in reputation for high quality
- Financial reparation for product quality failures
- higher COGS (due to higher scrap rate)</v>
          </cell>
          <cell r="BE23">
            <v>4</v>
          </cell>
          <cell r="BF23">
            <v>16</v>
          </cell>
          <cell r="BG23" t="str">
            <v>high</v>
          </cell>
          <cell r="BH23" t="str">
            <v>´- Specialist quality management teams and quality management system covering all production
- Quality testing of products at all stages of production
- Exhaustive testing of new products
- Re-fresh and enhancement of procedures for transfer of production between factories (including risk assessment)
- Insurance covering damages to 3rd party property or people caused by our products (under property and product liability - up to 100m with 50K excess, usual claims for less than 1m) and related legal costs (under legal insurance)</v>
          </cell>
          <cell r="BJ23">
            <v>3</v>
          </cell>
          <cell r="BL23">
            <v>4</v>
          </cell>
          <cell r="BM23">
            <v>12</v>
          </cell>
          <cell r="BN23" t="str">
            <v>high</v>
          </cell>
          <cell r="BO23">
            <v>12</v>
          </cell>
          <cell r="BP23">
            <v>12</v>
          </cell>
          <cell r="BQ23" t="str">
            <v>transfers of production volume between factories could increase the likelihood of risk crystalizing</v>
          </cell>
          <cell r="BR23">
            <v>4</v>
          </cell>
          <cell r="BS23" t="str">
            <v>´- Failure of product at a customer incurring consequential loss
- Loss in reputation for high quality
- Financial reparation for product quality failures
- higher COGS (due to higher scrap rate)</v>
          </cell>
          <cell r="BT23">
            <v>4</v>
          </cell>
          <cell r="BU23">
            <v>16</v>
          </cell>
          <cell r="BV23" t="str">
            <v>high</v>
          </cell>
          <cell r="BW23" t="str">
            <v>´- Specialist quality management teams and quality management system covering all production
- Quality testing of products at all stages of production
- Exhaustive testing of new products
- Re-fresh and enhancement of procedures for transfer of production between factories (including risk assessment)
- Insurance covering damages to 3rd party property or people caused by our products (under property and product liability - up to 100m with 50K excess, usual claims for less than 1m) and related legal costs (under legal insurance)</v>
          </cell>
          <cell r="BY23">
            <v>3</v>
          </cell>
          <cell r="CA23">
            <v>3</v>
          </cell>
          <cell r="CB23">
            <v>9</v>
          </cell>
          <cell r="CC23" t="str">
            <v>medium</v>
          </cell>
          <cell r="CD23">
            <v>9</v>
          </cell>
          <cell r="CE23">
            <v>9</v>
          </cell>
          <cell r="CF23" t="str">
            <v>transfers of production volume between factories could increase the likelihood of risk crystalizing</v>
          </cell>
          <cell r="CG23">
            <v>4</v>
          </cell>
          <cell r="CH23" t="str">
            <v>´- Failure of product at a customer incurring consequential loss
- Loss in reputation for high quality
- Financial reparation for product quality failures
- higher COGS (due to higher scrap rate)</v>
          </cell>
          <cell r="CI23">
            <v>4</v>
          </cell>
          <cell r="CJ23">
            <v>16</v>
          </cell>
          <cell r="CK23" t="str">
            <v>high</v>
          </cell>
          <cell r="CL23" t="str">
            <v>´- Specialist quality management teams and quality management system covering all production
- Quality testing of products at all stages of production
- Exhaustive testing of new products
- Re-fresh and enhancement of procedures for transfer of production between factories (including risk assessment)
- Insurance covering damages to 3rd party property or people caused by our products (under property and product liability - up to 100m with 50K excess, usual claims for less than 1m) and related legal costs (under legal insurance)</v>
          </cell>
          <cell r="CN23">
            <v>3</v>
          </cell>
          <cell r="CP23">
            <v>3</v>
          </cell>
          <cell r="CQ23">
            <v>9</v>
          </cell>
          <cell r="CR23" t="str">
            <v>medium</v>
          </cell>
          <cell r="CS23">
            <v>0</v>
          </cell>
          <cell r="CT23">
            <v>0</v>
          </cell>
          <cell r="CU23" t="str">
            <v>transfers of production volume between factories could increase the likelihood of risk crystalizing</v>
          </cell>
          <cell r="CV23">
            <v>4</v>
          </cell>
          <cell r="CW23" t="str">
            <v>´- Failure of product at a customer incurring consequential loss
- Loss in reputation for high quality
- Financial reparation for product quality failures
- higher COGS (due to higher scrap rate)</v>
          </cell>
          <cell r="CX23">
            <v>4</v>
          </cell>
          <cell r="CY23">
            <v>16</v>
          </cell>
          <cell r="CZ23" t="str">
            <v>high</v>
          </cell>
          <cell r="DA23" t="str">
            <v>´- Specialist quality management teams and quality management system covering all production
- Quality testing of products at all stages of production
- Exhaustive testing of new products
- Re-fresh and enhancement of procedures for transfer of production between factories (including risk assessment)
- Insurance covering damages to 3rd party property or people caused by our products (under property and product liability - up to 100m with 50K excess, usual claims for less than 1m) and related legal costs (under legal insurance)</v>
          </cell>
          <cell r="DB23">
            <v>3</v>
          </cell>
          <cell r="DC23">
            <v>3</v>
          </cell>
          <cell r="DD23">
            <v>9</v>
          </cell>
          <cell r="DE23" t="str">
            <v>medium</v>
          </cell>
          <cell r="DF23">
            <v>0</v>
          </cell>
          <cell r="DG23">
            <v>0</v>
          </cell>
          <cell r="DH23">
            <v>9</v>
          </cell>
          <cell r="DI23" t="str">
            <v>medium</v>
          </cell>
          <cell r="DJ23" t="str">
            <v>R. Jayendran
L. Bittencourt</v>
          </cell>
          <cell r="DK23" t="str">
            <v>Martin Pischler</v>
          </cell>
          <cell r="DL23" t="str">
            <v>EMT</v>
          </cell>
          <cell r="DM23" t="str">
            <v>BoD</v>
          </cell>
        </row>
        <row r="24">
          <cell r="A24">
            <v>19</v>
          </cell>
          <cell r="B24" t="str">
            <v>Supplier dependency risk</v>
          </cell>
          <cell r="C24" t="str">
            <v xml:space="preserve">Failure of critical supplier / Inability to source key production requirement,  dependency risk (equipment, energy power) </v>
          </cell>
          <cell r="D24" t="str">
            <v>2 - Supplier dependency risk</v>
          </cell>
          <cell r="E24" t="str">
            <v xml:space="preserve">´- Failure/delays of a critical RM supplier 
- Failure/delays of equipment   suppliers 
- Failure/delays of energy   suppliers 
- Failure/delays of critical IT  suppliers </v>
          </cell>
          <cell r="F24" t="str">
            <v>Internal</v>
          </cell>
          <cell r="G24" t="e">
            <v>#REF!</v>
          </cell>
          <cell r="H24" t="str">
            <v>High</v>
          </cell>
          <cell r="I24" t="str">
            <v>Risk of delays and critical supplier failure is possible. Given the previous experience with COVID in the Q1 2020, we saw that our industry was not penalized as much from the disruptions caused.</v>
          </cell>
          <cell r="J24">
            <v>4</v>
          </cell>
          <cell r="K24" t="str">
            <v>´- Deteriorating of client relationships due to low SIFOT
-Missed sales due to inability to supplying products to customers 
- Production delay resulting in higher production costs</v>
          </cell>
          <cell r="L24">
            <v>5</v>
          </cell>
          <cell r="M24">
            <v>20</v>
          </cell>
          <cell r="N24" t="str">
            <v>critical</v>
          </cell>
          <cell r="O24" t="str">
            <v>´- Constant monitoring of delays/failure of suppliers
- Mapping of critical suppliers
- Adhoc plans to manage failure of a critical supplier
- sole source raw material alternative project</v>
          </cell>
          <cell r="P24" t="str">
            <v>High number of sole source suppliers &amp; dependency on China-based FM suppliers remains high.  Potential elettricity powercuts from Chinese government</v>
          </cell>
          <cell r="Q24">
            <v>4</v>
          </cell>
          <cell r="R24" t="str">
            <v>´- Deteriorating of client relationships due to low SIFOT
-Missed sales due to inability to supplying products to customers 
- Production delay resulting in higher production costs</v>
          </cell>
          <cell r="S24">
            <v>4</v>
          </cell>
          <cell r="T24">
            <v>16</v>
          </cell>
          <cell r="U24" t="str">
            <v>high</v>
          </cell>
          <cell r="V24">
            <v>0</v>
          </cell>
          <cell r="W24">
            <v>0</v>
          </cell>
          <cell r="Y24">
            <v>3</v>
          </cell>
          <cell r="AA24">
            <v>5</v>
          </cell>
          <cell r="AB24">
            <v>15</v>
          </cell>
          <cell r="AC24" t="str">
            <v>high</v>
          </cell>
          <cell r="AD24" t="str">
            <v>EMT focus on identifying and qualifying alternative sources of critical RM is high - risk mitigation plans are still under developement and might require adjustments in the current backward integration structure</v>
          </cell>
          <cell r="AE24" t="str">
            <v>High number of sole source suppliers &amp; dependency on China-based FM suppliers remains high</v>
          </cell>
          <cell r="AF24">
            <v>4</v>
          </cell>
          <cell r="AH24">
            <v>4</v>
          </cell>
          <cell r="AI24">
            <v>16</v>
          </cell>
          <cell r="AJ24" t="str">
            <v>high</v>
          </cell>
          <cell r="AK24">
            <v>4</v>
          </cell>
          <cell r="AL24">
            <v>4</v>
          </cell>
          <cell r="AM24" t="str">
            <v>Risk of delays and critical supplier failure is possible. Given the previous experience with COVID in the Q1 2020, we saw that our industry was not penalized as much from the disruptions caused.</v>
          </cell>
          <cell r="AN24">
            <v>3</v>
          </cell>
          <cell r="AO24" t="str">
            <v>´- Deteriorating of client relationships due to low SIFOT
-Missed sales due to inability to supplying products to customers 
- Production delay resulting in higher production costs</v>
          </cell>
          <cell r="AP24">
            <v>5</v>
          </cell>
          <cell r="AQ24">
            <v>15</v>
          </cell>
          <cell r="AR24" t="str">
            <v>high</v>
          </cell>
          <cell r="AS24" t="str">
            <v>´- Constant monitoring of delays/failure of suppliers
- Mapping of critical suppliers
- Adhoc plans to manage failure of a critical supplier</v>
          </cell>
          <cell r="AT24" t="str">
            <v>Risk increases due to a multi-faceted approach which now captures 4 risk dimensions:
1) Dependency on one supplier for the sourcing of a specific raw material
2) Dependency on few suppliers operating in the same market, based in the same geography and showing similar behaviors/risk profiles. RHIM is especially exposed to FM with 100% suppliers in China, a consolidated market with few players, whom behavior is highly influenced by the government policies (e.g. import, environmental). The supply chain from China to the Americas is long, which increases the risk exposure. Mitigating strategies are being evaluated (e.g. "China + 1") to ensure alternative sources of supply.  
3) Dependency on our own material, especially for those materials where we do not have an alternative qualified supplier
4) Dependency on co-manufacturers, which can expose us to disruption in our own raw material production.</v>
          </cell>
          <cell r="AU24">
            <v>3</v>
          </cell>
          <cell r="AV24" t="str">
            <v>Risk increases due to a multi-faceted approach which now captures 4 risk dimensions:
1) Dependency on one supplier for the sourcing of a specific raw material
2) Dependency on few suppliers operating in the same market, based in the same geography and showing similar behaviors/risk profiles. RHIM is especially exposed to FM with 100% suppliers in China, a consolidated market with few players, whom behavior is highly influenced by the government policies (e.g. import, environmental). The supply chain from China to the Americas is long, which increases the risk exposure. Mitigating strategies are being evaluated (e.g. "China + 1") to ensure alternative sources of supply.  
3) Dependency on our own material, especially for those materials where we do not have an alternative qualified supplier
4) Dependency on co-manufacturers, which can expose us to disruption in our own raw material production.</v>
          </cell>
          <cell r="AW24">
            <v>4</v>
          </cell>
          <cell r="AX24">
            <v>12</v>
          </cell>
          <cell r="AY24" t="str">
            <v>high</v>
          </cell>
          <cell r="AZ24">
            <v>6</v>
          </cell>
          <cell r="BA24">
            <v>6</v>
          </cell>
          <cell r="BB24" t="str">
            <v>Risk of delays and critical supplier failure is possible. Given the previous experience with COVID in the Q1 2020, we saw that our industry was not penalized as much from the disruptions caused.</v>
          </cell>
          <cell r="BC24">
            <v>3</v>
          </cell>
          <cell r="BD24" t="str">
            <v>´- Deteriorating of client relationships due to low SIFOT
-Missed sales due to inability to supplying products to customers 
- Production delay resulting in higher production costs</v>
          </cell>
          <cell r="BE24">
            <v>4</v>
          </cell>
          <cell r="BF24">
            <v>12</v>
          </cell>
          <cell r="BG24" t="str">
            <v>high</v>
          </cell>
          <cell r="BH24" t="str">
            <v>´- Constant monitoring of delays/failure of suppliers
- Mapping of critical suppliers
- Adhoc plans to manage failure of a critical supplier</v>
          </cell>
          <cell r="BI24" t="str">
            <v xml:space="preserve">Reduced as, considering the new norm, the way critical supply have been managed  during pandemic and the current status, it is unlikely that there will be significant supply interruptions </v>
          </cell>
          <cell r="BJ24">
            <v>2</v>
          </cell>
          <cell r="BL24">
            <v>3</v>
          </cell>
          <cell r="BM24">
            <v>6</v>
          </cell>
          <cell r="BN24" t="str">
            <v>low</v>
          </cell>
          <cell r="BO24">
            <v>6</v>
          </cell>
          <cell r="BP24">
            <v>6</v>
          </cell>
          <cell r="BQ24" t="str">
            <v>Risk of delays and critical supplier failure is possible. Given the previous experience with COVID in the Q1 2020, we saw that our industry was not penalized as much from the disruptions caused.</v>
          </cell>
          <cell r="BR24">
            <v>3</v>
          </cell>
          <cell r="BS24" t="str">
            <v>´- Deteriorating of client relationships due to low SIFOT
-Missed sales due to inability to supplying products to customers 
- Production delay resulting in higher production costs</v>
          </cell>
          <cell r="BT24">
            <v>4</v>
          </cell>
          <cell r="BU24">
            <v>12</v>
          </cell>
          <cell r="BV24" t="str">
            <v>high</v>
          </cell>
          <cell r="BW24" t="str">
            <v>´- Constant monitoring of delays/failure of suppliers
- Mapping of critical suppliers
- Adhoc plans to manage failure of a critical supplier</v>
          </cell>
          <cell r="BX24" t="str">
            <v xml:space="preserve">Reduced as, considering the new norm, the way critical supply have been managed  during pandemic and the current status, it is unlikely that there will be significant supply interruptions </v>
          </cell>
          <cell r="BY24">
            <v>2</v>
          </cell>
          <cell r="CA24">
            <v>3</v>
          </cell>
          <cell r="CB24">
            <v>6</v>
          </cell>
          <cell r="CC24" t="str">
            <v>low</v>
          </cell>
          <cell r="CD24">
            <v>6</v>
          </cell>
          <cell r="CE24">
            <v>6</v>
          </cell>
          <cell r="CF24" t="str">
            <v>Risk of delays and critical supplier failure is possible. Given the previous experience with COVID in the Q1 2020, we saw that our industry was not penalized as much from the disruptions caused.</v>
          </cell>
          <cell r="CG24">
            <v>3</v>
          </cell>
          <cell r="CH24" t="str">
            <v>´- Deteriorating of client relationships due to low SIFOT
-Missed sales due to inability to supplying products to customers 
- Production delay resulting in higher production costs</v>
          </cell>
          <cell r="CI24">
            <v>4</v>
          </cell>
          <cell r="CJ24">
            <v>12</v>
          </cell>
          <cell r="CK24" t="str">
            <v>high</v>
          </cell>
          <cell r="CL24" t="str">
            <v>´- Constant monitoring of delays/failure of suppliers
- Mapping of critical suppliers
- Adhoc plans to manage failure of a critical supplier</v>
          </cell>
          <cell r="CM24" t="str">
            <v xml:space="preserve">Reduced as, considering the new norm, the way critical supply have been managed  during pandemic and the current status, it is unlikely that there will be significant supply interruptions </v>
          </cell>
          <cell r="CN24">
            <v>2</v>
          </cell>
          <cell r="CP24">
            <v>3</v>
          </cell>
          <cell r="CQ24">
            <v>6</v>
          </cell>
          <cell r="CR24" t="str">
            <v>low</v>
          </cell>
          <cell r="CS24">
            <v>-3</v>
          </cell>
          <cell r="CT24">
            <v>-3</v>
          </cell>
          <cell r="CU24" t="str">
            <v>Risk of delays and critical supplier failure is likely. Risk is increased due to disruptions caused by the global COVID-19 pandemic</v>
          </cell>
          <cell r="CV24">
            <v>4</v>
          </cell>
          <cell r="CW24" t="str">
            <v>´- Deteriorating of client relationships due to low SIFOT
-Missed sales due to inability to supplying products to customers 
- Production delay resulting in higher production costs</v>
          </cell>
          <cell r="CX24">
            <v>4</v>
          </cell>
          <cell r="CY24">
            <v>16</v>
          </cell>
          <cell r="CZ24" t="str">
            <v>high</v>
          </cell>
          <cell r="DA24" t="str">
            <v>´- Constant monitoring of delays/failure of suppliers
- Mapping of critical suppliers
- Adhoc plans to manage failure of a critical supplier</v>
          </cell>
          <cell r="DB24">
            <v>3</v>
          </cell>
          <cell r="DC24">
            <v>3</v>
          </cell>
          <cell r="DD24">
            <v>9</v>
          </cell>
          <cell r="DE24" t="str">
            <v>medium</v>
          </cell>
          <cell r="DF24">
            <v>3</v>
          </cell>
          <cell r="DG24">
            <v>3</v>
          </cell>
          <cell r="DH24">
            <v>6</v>
          </cell>
          <cell r="DI24" t="str">
            <v>low</v>
          </cell>
          <cell r="DJ24" t="str">
            <v>T. Kobel</v>
          </cell>
          <cell r="DK24" t="str">
            <v>Christian Viehweger</v>
          </cell>
          <cell r="DL24" t="str">
            <v>EMT</v>
          </cell>
          <cell r="DM24" t="str">
            <v>BoD</v>
          </cell>
        </row>
        <row r="25">
          <cell r="A25">
            <v>20</v>
          </cell>
          <cell r="B25" t="str">
            <v xml:space="preserve">M&amp;A delivery (deal closure and benefits realization) </v>
          </cell>
          <cell r="C25" t="str">
            <v xml:space="preserve">Underperformance of acquisitions (including delays), including through overpaying, not identifying key risks and not realising forecast synergies (M&amp;A) </v>
          </cell>
          <cell r="D25" t="str">
            <v>3 - Inability to execute key strategic initiatives</v>
          </cell>
          <cell r="E25" t="str">
            <v>´- internal inefficiencies might cause delays in acquisitions
- inaccurate company evaluation
- lack or poor risk assessment
- inaccurate estimation of synergies
- inability to realize expected synergies</v>
          </cell>
          <cell r="F25" t="str">
            <v>Internal</v>
          </cell>
          <cell r="G25" t="e">
            <v>#REF!</v>
          </cell>
          <cell r="H25" t="str">
            <v>Low</v>
          </cell>
          <cell r="I25" t="str">
            <v>The M&amp;A process in inherently complex, it is therefore possible that might not deliver the expected benefits to the company</v>
          </cell>
          <cell r="J25">
            <v>4</v>
          </cell>
          <cell r="K25" t="str">
            <v xml:space="preserve">The impact depend on the size of the acquisition performed ( it can be at level 5 = "critical"  in case of large acquisitions, medium "3" in case of medium size acquisitions, "2" low in case of small size acquisitions, "1" if no acquisition is made). </v>
          </cell>
          <cell r="L25">
            <v>5</v>
          </cell>
          <cell r="M25">
            <v>20</v>
          </cell>
          <cell r="N25" t="str">
            <v>critical</v>
          </cell>
          <cell r="O25" t="str">
            <v>´- Risk assessment and due diligence process is performed for all acquisitions
- Dedicated PMO office to realize synergies and lead integration
- Close monitoring and involvement of EMT into M&amp;A decisions</v>
          </cell>
          <cell r="P25" t="str">
            <v>given the current level of M&amp;A activity and the size of the targets the risk in unlikely</v>
          </cell>
          <cell r="Q25">
            <v>2</v>
          </cell>
          <cell r="R25" t="str">
            <v>Risk score increase to reflect our challenges/delays in closing M&amp;A deals due to multiple factors, including the lack of contacts and internal delays.</v>
          </cell>
          <cell r="S25">
            <v>5</v>
          </cell>
          <cell r="T25">
            <v>10</v>
          </cell>
          <cell r="U25" t="str">
            <v>medium</v>
          </cell>
          <cell r="V25">
            <v>0</v>
          </cell>
          <cell r="W25">
            <v>0</v>
          </cell>
          <cell r="Y25">
            <v>3</v>
          </cell>
          <cell r="AA25">
            <v>4</v>
          </cell>
          <cell r="AB25">
            <v>12</v>
          </cell>
          <cell r="AC25" t="str">
            <v>high</v>
          </cell>
          <cell r="AD25" t="str">
            <v>REPRIORITIZED: Risk was deprioritized during 2020 due to the M&amp;A slowdown. Considering the pipeline of potential targets, it deemed relevant again. Risk has been re-shaped to include both the risks associated with deal closure (delays, lack of resources to perform due diligence on time) and with benefit realization.</v>
          </cell>
          <cell r="AF25">
            <v>2</v>
          </cell>
          <cell r="AG25" t="str">
            <v>Considering the pipeline of potential targets, the impact increased.</v>
          </cell>
          <cell r="AH25">
            <v>5</v>
          </cell>
          <cell r="AI25">
            <v>10</v>
          </cell>
          <cell r="AJ25" t="str">
            <v>medium</v>
          </cell>
          <cell r="AK25">
            <v>2</v>
          </cell>
          <cell r="AL25">
            <v>2</v>
          </cell>
          <cell r="AM25" t="str">
            <v>The M&amp;A process in inherently complex, it is therefore possible that might not deliver the expected benefits to the company</v>
          </cell>
          <cell r="AN25">
            <v>3</v>
          </cell>
          <cell r="AO25" t="str">
            <v xml:space="preserve">The impact depend on the size of the acquisition performed ( it can be at level 5 = "critical"  in case of large acquisitions, medium "3" in case of medium size acquisitions, "2" low in case of small size acquisitions, "1" if no acquisition is made). </v>
          </cell>
          <cell r="AP25">
            <v>4</v>
          </cell>
          <cell r="AQ25">
            <v>12</v>
          </cell>
          <cell r="AR25" t="str">
            <v>high</v>
          </cell>
          <cell r="AS25" t="str">
            <v>´- Risk assessment and due diligence process is performed for all acquisitions
- Dedicated PMO office to realize synergies and lead integration
- Close monitoring and involvement of EMT into M&amp;A decisions</v>
          </cell>
          <cell r="AU25">
            <v>2</v>
          </cell>
          <cell r="AV25" t="str">
            <v>Risk score increase to reflect our challenges/delays in closing M&amp;A deals due to multiple factors, including the lack of contacts and internal delays.</v>
          </cell>
          <cell r="AW25">
            <v>4</v>
          </cell>
          <cell r="AX25">
            <v>8</v>
          </cell>
          <cell r="AY25" t="str">
            <v>medium</v>
          </cell>
          <cell r="AZ25">
            <v>2</v>
          </cell>
          <cell r="BA25">
            <v>2</v>
          </cell>
          <cell r="BB25" t="str">
            <v>The M&amp;A process in inherently complex, it is therefore possible that might not deliver the expected benefits to the company</v>
          </cell>
          <cell r="BC25">
            <v>3</v>
          </cell>
          <cell r="BD25" t="str">
            <v xml:space="preserve">The impact depend on the size of the acquisition performed ( it can be at level 5 = "critical"  in case of large acquisitions, medium "3" in case of medium size acquisitions, "2" low in case of small size acquisitions, "1" if no acquisition is made). </v>
          </cell>
          <cell r="BE25">
            <v>2</v>
          </cell>
          <cell r="BF25">
            <v>6</v>
          </cell>
          <cell r="BG25" t="str">
            <v>low</v>
          </cell>
          <cell r="BH25" t="str">
            <v>´- Risk assessment and due diligence process is performed for all acquisitions
- Dedicated PMO office to realize synergies and lead integration
- Close monitoring and involvement of EMT into M&amp;A decisions</v>
          </cell>
          <cell r="BJ25">
            <v>3</v>
          </cell>
          <cell r="BL25">
            <v>2</v>
          </cell>
          <cell r="BM25">
            <v>6</v>
          </cell>
          <cell r="BN25" t="str">
            <v>low</v>
          </cell>
          <cell r="BO25">
            <v>6</v>
          </cell>
          <cell r="BP25">
            <v>6</v>
          </cell>
          <cell r="BQ25" t="str">
            <v>The M&amp;A process in inherently complex, it is therefore possible that might not deliver the expected benefits to the company</v>
          </cell>
          <cell r="BR25">
            <v>3</v>
          </cell>
          <cell r="BS25" t="str">
            <v xml:space="preserve">The impact depend on the size of the acquisition performed ( it can be at level 5 = "critical"  in case of large acquisitions, medium "3" in case of medium size acquisitions, "2" low in case of small size acquisitions, "1" if no acquisition is made). </v>
          </cell>
          <cell r="BT25">
            <v>2</v>
          </cell>
          <cell r="BU25">
            <v>6</v>
          </cell>
          <cell r="BV25" t="str">
            <v>low</v>
          </cell>
          <cell r="BW25" t="str">
            <v>´- Risk assessment and due diligence process is performed for all acquisitions
- Dedicated PMO office to realize synergies and lead integration
- Close monitoring and involvement of EMT into M&amp;A decisions</v>
          </cell>
          <cell r="BY25">
            <v>3</v>
          </cell>
          <cell r="CA25">
            <v>2</v>
          </cell>
          <cell r="CB25">
            <v>6</v>
          </cell>
          <cell r="CC25" t="str">
            <v>low</v>
          </cell>
          <cell r="CD25">
            <v>6</v>
          </cell>
          <cell r="CE25">
            <v>6</v>
          </cell>
          <cell r="CF25" t="str">
            <v>The M&amp;A process in inherently complex, it is therefore possible that might not deliver the expected benefits to the company</v>
          </cell>
          <cell r="CG25">
            <v>3</v>
          </cell>
          <cell r="CH25" t="str">
            <v xml:space="preserve">The impact depend on the size of the acquisition performed ( it can be at level 5 = "critical"  in case of large acquisitions, medium "3" in case of medium size acquisitions, "2" low in case of small size acquisitions, "1" if no acquisition is made). </v>
          </cell>
          <cell r="CI25">
            <v>2</v>
          </cell>
          <cell r="CJ25">
            <v>6</v>
          </cell>
          <cell r="CK25" t="str">
            <v>low</v>
          </cell>
          <cell r="CL25" t="str">
            <v>´- Risk assessment and due diligence process is performed for all acquisitions
- Dedicated PMO office to realize synergies and lead integration
- Close monitoring and involvement of EMT into M&amp;A decisions</v>
          </cell>
          <cell r="CN25">
            <v>3</v>
          </cell>
          <cell r="CP25">
            <v>2</v>
          </cell>
          <cell r="CQ25">
            <v>6</v>
          </cell>
          <cell r="CR25" t="str">
            <v>low</v>
          </cell>
          <cell r="CS25">
            <v>0</v>
          </cell>
          <cell r="CT25">
            <v>0</v>
          </cell>
          <cell r="CU25" t="str">
            <v>The M&amp;A process in inherently complex, it is therefore possible that might not deliver the expected benefits to the company</v>
          </cell>
          <cell r="CV25">
            <v>3</v>
          </cell>
          <cell r="CW25" t="str">
            <v xml:space="preserve">The impact depend on the size of the acquisition performed ( it can be at level 5 = "critical"  in case of large acquisitions, medium "3" in case of medium size acquisitions, "2" low in case of small size acquisitions, "1" if no acquisition is made). </v>
          </cell>
          <cell r="CX25">
            <v>2</v>
          </cell>
          <cell r="CY25">
            <v>6</v>
          </cell>
          <cell r="CZ25" t="str">
            <v>low</v>
          </cell>
          <cell r="DA25" t="str">
            <v>´- Risk assessment and due diligence process is performed for all acquisitions
- Dedicated PMO office to realize synergies and lead integration
- Close monitoring and involvement of EMT into M&amp;A decisions</v>
          </cell>
          <cell r="DB25">
            <v>3</v>
          </cell>
          <cell r="DC25">
            <v>2</v>
          </cell>
          <cell r="DD25">
            <v>6</v>
          </cell>
          <cell r="DE25" t="str">
            <v>low</v>
          </cell>
          <cell r="DF25">
            <v>0</v>
          </cell>
          <cell r="DG25">
            <v>0</v>
          </cell>
          <cell r="DH25">
            <v>6</v>
          </cell>
          <cell r="DI25" t="str">
            <v>low</v>
          </cell>
          <cell r="DJ25" t="str">
            <v>S. Borgas
S. Oremovic</v>
          </cell>
          <cell r="DK25" t="str">
            <v>Simon Kuchelbacher</v>
          </cell>
          <cell r="DL25" t="str">
            <v>EMT</v>
          </cell>
          <cell r="DM25" t="str">
            <v>BoD</v>
          </cell>
        </row>
        <row r="26">
          <cell r="A26">
            <v>21</v>
          </cell>
          <cell r="B26" t="str">
            <v>Ability of the end-to-end supply chain to match the speed of change</v>
          </cell>
          <cell r="C26" t="str">
            <v>Inability to organize internal resources (people, processes, organization) to react quickly to changes prompted by internal  and external factors.</v>
          </cell>
          <cell r="D26" t="str">
            <v>5 - Reliability of the end-to-end value chain</v>
          </cell>
          <cell r="E26" t="str">
            <v xml:space="preserve">Capacity constraints for finish good production, combined with the low inventory levels and the high capacity utilization, lead to a higher exposure to peaks of demand.  </v>
          </cell>
          <cell r="F26" t="str">
            <v>Both</v>
          </cell>
          <cell r="G26" t="e">
            <v>#REF!</v>
          </cell>
          <cell r="H26" t="str">
            <v>High</v>
          </cell>
          <cell r="I26" t="str">
            <v>Probable due to current market volatility. Logistic challenges are also influencing the complexity in having an agile supply chain.</v>
          </cell>
          <cell r="J26">
            <v>4</v>
          </cell>
          <cell r="K26" t="str">
            <v>´- Deteriorating of client relationships due to low SIFOT
-Missed sales due to inability to supplying products to customers 
- Production delay resulting in higher production costs</v>
          </cell>
          <cell r="L26">
            <v>5</v>
          </cell>
          <cell r="M26">
            <v>20</v>
          </cell>
          <cell r="N26" t="str">
            <v>critical</v>
          </cell>
          <cell r="O26" t="str">
            <v xml:space="preserve"> Project Mercury was launched in May and is delivering a number of improvements
End-to-end value chain concept is being developed to improve the speed and execution </v>
          </cell>
          <cell r="P26" t="str">
            <v>Probable due to current market volatility. Logistic challenges are also influencing the complexity in having an agile supply chain.</v>
          </cell>
          <cell r="Q26">
            <v>4</v>
          </cell>
          <cell r="R26" t="str">
            <v>partially mitigated by risk mitigating actions in place</v>
          </cell>
          <cell r="S26">
            <v>4</v>
          </cell>
          <cell r="T26">
            <v>16</v>
          </cell>
          <cell r="U26" t="str">
            <v>high</v>
          </cell>
          <cell r="V26">
            <v>0</v>
          </cell>
          <cell r="W26">
            <v>0</v>
          </cell>
          <cell r="Y26">
            <v>4</v>
          </cell>
          <cell r="AA26">
            <v>5</v>
          </cell>
          <cell r="AB26">
            <v>20</v>
          </cell>
          <cell r="AC26" t="str">
            <v>critical</v>
          </cell>
          <cell r="AD26" t="str">
            <v>Risk was reworded to capture the increasing speed of change of the commercial environment which pushes us to continuously improve flexibility. Project Mercury was launched in May and is delivering a number of improvements</v>
          </cell>
          <cell r="AF26">
            <v>4</v>
          </cell>
          <cell r="AH26">
            <v>4</v>
          </cell>
          <cell r="AI26">
            <v>16</v>
          </cell>
          <cell r="AJ26" t="str">
            <v>high</v>
          </cell>
          <cell r="AK26">
            <v>0</v>
          </cell>
          <cell r="AL26">
            <v>0</v>
          </cell>
          <cell r="AN26">
            <v>4</v>
          </cell>
          <cell r="AP26">
            <v>5</v>
          </cell>
          <cell r="AQ26">
            <v>20</v>
          </cell>
          <cell r="AR26" t="str">
            <v>critical</v>
          </cell>
          <cell r="AU26">
            <v>4</v>
          </cell>
          <cell r="AW26">
            <v>4</v>
          </cell>
          <cell r="AX26">
            <v>16</v>
          </cell>
          <cell r="AY26" t="str">
            <v>high</v>
          </cell>
          <cell r="AZ26">
            <v>16</v>
          </cell>
          <cell r="BA26">
            <v>16</v>
          </cell>
          <cell r="DJ26" t="str">
            <v>S. Oremovic
G. Franco
T. Kobel
R. Jayendran</v>
          </cell>
          <cell r="DL26" t="str">
            <v>EMT</v>
          </cell>
          <cell r="DM26" t="str">
            <v>BoD</v>
          </cell>
        </row>
        <row r="27">
          <cell r="A27">
            <v>22</v>
          </cell>
          <cell r="B27" t="str">
            <v>Ability to predict and pass costs increases on to customers</v>
          </cell>
          <cell r="C27" t="str">
            <v>Inability to pass on raw material/freight prices increases to customers could lead to margin erosion and not being able to capturing the upside.</v>
          </cell>
          <cell r="D27" t="str">
            <v>10 - Ability to predict and pass cost increases to customers</v>
          </cell>
          <cell r="E27" t="str">
            <v>- raw materialprice increases</v>
          </cell>
          <cell r="F27" t="str">
            <v>Internal</v>
          </cell>
          <cell r="G27" t="e">
            <v>#REF!</v>
          </cell>
          <cell r="H27" t="str">
            <v>Medium</v>
          </cell>
          <cell r="I27" t="str">
            <v>Inflating costs (freights, energy and raw materials mainly) trigger the need to pass on costs to customers</v>
          </cell>
          <cell r="J27">
            <v>5</v>
          </cell>
          <cell r="K27" t="str">
            <v>margin erosion could significantly impacting the EBITA (up to 130 E mil)</v>
          </cell>
          <cell r="L27">
            <v>5</v>
          </cell>
          <cell r="M27">
            <v>25</v>
          </cell>
          <cell r="N27" t="str">
            <v>critical</v>
          </cell>
          <cell r="O27" t="str">
            <v>proactively engaging with customers to negotiate prices upwards thorugh price increase initiative (targeting a total of 130 E mi for 2021)</v>
          </cell>
          <cell r="P27" t="str">
            <v>price increases are in progress and on track hoever, constantly raising costs might require further sales price increases. Energy shortages and power cuts can also push the energy prices further up, which would require to pass on these to customers</v>
          </cell>
          <cell r="Q27">
            <v>4</v>
          </cell>
          <cell r="R27" t="str">
            <v>margin erosion could significantly impacting the EBITA (up to 130 E mil)</v>
          </cell>
          <cell r="S27">
            <v>5</v>
          </cell>
          <cell r="T27">
            <v>20</v>
          </cell>
          <cell r="U27" t="str">
            <v>critical</v>
          </cell>
          <cell r="V27">
            <v>0</v>
          </cell>
          <cell r="W27">
            <v>0</v>
          </cell>
          <cell r="Y27">
            <v>5</v>
          </cell>
          <cell r="AA27">
            <v>4</v>
          </cell>
          <cell r="AB27">
            <v>20</v>
          </cell>
          <cell r="AC27" t="str">
            <v>critical</v>
          </cell>
          <cell r="AD27" t="str">
            <v>The scope of the risk was extended to capture freight costs and energy costs</v>
          </cell>
          <cell r="AF27">
            <v>4</v>
          </cell>
          <cell r="AG27" t="str">
            <v>Extended scope to capture freight and energy costs. In addition, constantly raising costs might require further sales price increases</v>
          </cell>
          <cell r="AH27">
            <v>5</v>
          </cell>
          <cell r="AI27">
            <v>20</v>
          </cell>
          <cell r="AJ27" t="str">
            <v>critical</v>
          </cell>
          <cell r="AK27">
            <v>4</v>
          </cell>
          <cell r="AL27">
            <v>4</v>
          </cell>
          <cell r="AN27">
            <v>5</v>
          </cell>
          <cell r="AP27">
            <v>4</v>
          </cell>
          <cell r="AQ27">
            <v>20</v>
          </cell>
          <cell r="AR27" t="str">
            <v>critical</v>
          </cell>
          <cell r="AS27" t="str">
            <v>proactively engaging with customers to negotiate prices upwards</v>
          </cell>
          <cell r="AU27">
            <v>4</v>
          </cell>
          <cell r="AW27">
            <v>4</v>
          </cell>
          <cell r="AX27">
            <v>16</v>
          </cell>
          <cell r="AY27" t="str">
            <v>high</v>
          </cell>
          <cell r="AZ27">
            <v>16</v>
          </cell>
          <cell r="BA27">
            <v>16</v>
          </cell>
          <cell r="DJ27" t="str">
            <v>G. Franco</v>
          </cell>
          <cell r="DL27" t="str">
            <v>EMT</v>
          </cell>
          <cell r="DM27" t="str">
            <v>BoD</v>
          </cell>
        </row>
        <row r="28">
          <cell r="A28">
            <v>23</v>
          </cell>
          <cell r="B28" t="str">
            <v>Raw material inventory levels</v>
          </cell>
          <cell r="C28" t="str">
            <v xml:space="preserve">Low raw material inventory levels, increased the risk of not being able to fulfill customer demand and have a buffer to de-risk supply chain disruptions. </v>
          </cell>
          <cell r="D28" t="str">
            <v>5 - Reliability of the end-to-end value chain</v>
          </cell>
          <cell r="E28" t="str">
            <v xml:space="preserve"> unrealistic inventory targets</v>
          </cell>
          <cell r="F28" t="str">
            <v>Internal</v>
          </cell>
          <cell r="G28" t="e">
            <v>#REF!</v>
          </cell>
          <cell r="H28" t="str">
            <v>Medium</v>
          </cell>
          <cell r="I28" t="str">
            <v>Raw material inventory levels are key to mitigate the risk of production interruption. On the other hand, raw material inventory level which are too high will absorbe a high amount of working capital deteriorating the BS position.</v>
          </cell>
          <cell r="J28">
            <v>4</v>
          </cell>
          <cell r="K28" t="str">
            <v>potentially higher than 48m Eur</v>
          </cell>
          <cell r="L28">
            <v>5</v>
          </cell>
          <cell r="M28">
            <v>20</v>
          </cell>
          <cell r="N28" t="str">
            <v>critical</v>
          </cell>
          <cell r="O28" t="str">
            <v>The risk associated with the raw material inventory planning and optimization process remains a focus point requiring improvements. End to end value chain will mitigate this risk further</v>
          </cell>
          <cell r="P28" t="str">
            <v>partially mitigated by the significant optimizationn of raw material inventory levels carried out between Q2 and Q3</v>
          </cell>
          <cell r="Q28">
            <v>3</v>
          </cell>
          <cell r="R28" t="str">
            <v>potentially higher than 48m Eur</v>
          </cell>
          <cell r="S28">
            <v>4</v>
          </cell>
          <cell r="T28">
            <v>12</v>
          </cell>
          <cell r="U28" t="str">
            <v>high</v>
          </cell>
          <cell r="V28">
            <v>0</v>
          </cell>
          <cell r="W28">
            <v>0</v>
          </cell>
          <cell r="Y28">
            <v>4</v>
          </cell>
          <cell r="AA28">
            <v>5</v>
          </cell>
          <cell r="AB28">
            <v>20</v>
          </cell>
          <cell r="AC28" t="str">
            <v>critical</v>
          </cell>
          <cell r="AD28" t="str">
            <v>The risk associated with the raw material inventory planning and optimization process remains a focus point requiring improvements - this element is captured by the risk “ability of the end-to-end supply chain to match the speed of change”</v>
          </cell>
          <cell r="AF28">
            <v>3</v>
          </cell>
          <cell r="AG28" t="str">
            <v>Critical raw material stock level improved significantly and reduced the short-term risk</v>
          </cell>
          <cell r="AH28">
            <v>4</v>
          </cell>
          <cell r="AI28">
            <v>12</v>
          </cell>
          <cell r="AJ28" t="str">
            <v>high</v>
          </cell>
          <cell r="AK28">
            <v>-3</v>
          </cell>
          <cell r="AL28">
            <v>-3</v>
          </cell>
          <cell r="AN28">
            <v>4</v>
          </cell>
          <cell r="AP28">
            <v>5</v>
          </cell>
          <cell r="AQ28">
            <v>20</v>
          </cell>
          <cell r="AR28" t="str">
            <v>critical</v>
          </cell>
          <cell r="AU28">
            <v>3</v>
          </cell>
          <cell r="AW28">
            <v>5</v>
          </cell>
          <cell r="AX28">
            <v>15</v>
          </cell>
          <cell r="AY28" t="str">
            <v>high</v>
          </cell>
          <cell r="AZ28">
            <v>15</v>
          </cell>
          <cell r="BA28">
            <v>15</v>
          </cell>
          <cell r="DJ28" t="str">
            <v>S. Oremovic</v>
          </cell>
          <cell r="DL28" t="str">
            <v>EMT</v>
          </cell>
          <cell r="DM28" t="str">
            <v>BoD</v>
          </cell>
        </row>
        <row r="29">
          <cell r="A29">
            <v>24</v>
          </cell>
          <cell r="B29" t="str">
            <v>Recycling strategy</v>
          </cell>
          <cell r="C29" t="str">
            <v>Inability to leverage the upside of the recycling business model (incl. recycling as source of low cost raw material)</v>
          </cell>
          <cell r="D29" t="str">
            <v>3 - Inability to execute key strategic initiatives</v>
          </cell>
          <cell r="F29" t="str">
            <v>Internal</v>
          </cell>
          <cell r="G29" t="e">
            <v>#REF!</v>
          </cell>
          <cell r="H29" t="str">
            <v>Medium</v>
          </cell>
          <cell r="I29" t="str">
            <v>recyclign business model is still at fairly early stages and will require further development to significantly contribute to marginality improvement and competitive advantage. Mindset change towards the circular economy is also required to ensure developement to full potential</v>
          </cell>
          <cell r="J29">
            <v>4</v>
          </cell>
          <cell r="K29" t="str">
            <v>significant contribution is expected from the recycling business model. Access to a low cost of material could significantly improve the marginality (especially if considering the horizon 7of the 2025 strategy)</v>
          </cell>
          <cell r="L29">
            <v>5</v>
          </cell>
          <cell r="M29">
            <v>20</v>
          </cell>
          <cell r="N29" t="str">
            <v>critical</v>
          </cell>
          <cell r="O29" t="str">
            <v xml:space="preserve">recycling business model is being developed successfully </v>
          </cell>
          <cell r="P29" t="str">
            <v>Recycling is on track to deliver on expected targets</v>
          </cell>
          <cell r="Q29">
            <v>2</v>
          </cell>
          <cell r="R29" t="str">
            <v>significant contribution is expected from the recycling business model. Access to a low cost of material could significantly improve the marginality (especially if considering the horizon 7of the 2025 strategy)</v>
          </cell>
          <cell r="S29">
            <v>5</v>
          </cell>
          <cell r="T29">
            <v>10</v>
          </cell>
          <cell r="U29" t="str">
            <v>medium</v>
          </cell>
          <cell r="V29">
            <v>0</v>
          </cell>
          <cell r="W29">
            <v>0</v>
          </cell>
          <cell r="Y29">
            <v>4</v>
          </cell>
          <cell r="AA29">
            <v>5</v>
          </cell>
          <cell r="AB29">
            <v>20</v>
          </cell>
          <cell r="AC29" t="str">
            <v>critical</v>
          </cell>
          <cell r="AD29" t="str">
            <v>Recycling is on track to deliver on expected targets</v>
          </cell>
          <cell r="AE29" t="str">
            <v xml:space="preserve">Recycling is on track to deliver on expected targets, therefore the likelihood is reduced. </v>
          </cell>
          <cell r="AF29">
            <v>2</v>
          </cell>
          <cell r="AH29">
            <v>5</v>
          </cell>
          <cell r="AI29">
            <v>10</v>
          </cell>
          <cell r="AJ29" t="str">
            <v>medium</v>
          </cell>
          <cell r="AK29">
            <v>-5</v>
          </cell>
          <cell r="AL29">
            <v>-5</v>
          </cell>
          <cell r="AN29">
            <v>4</v>
          </cell>
          <cell r="AP29">
            <v>5</v>
          </cell>
          <cell r="AQ29">
            <v>20</v>
          </cell>
          <cell r="AR29" t="str">
            <v>critical</v>
          </cell>
          <cell r="AU29">
            <v>3</v>
          </cell>
          <cell r="AW29">
            <v>5</v>
          </cell>
          <cell r="AX29">
            <v>15</v>
          </cell>
          <cell r="AY29" t="str">
            <v>high</v>
          </cell>
          <cell r="AZ29">
            <v>15</v>
          </cell>
          <cell r="BA29">
            <v>15</v>
          </cell>
          <cell r="DJ29" t="str">
            <v>G. Franco</v>
          </cell>
          <cell r="DL29" t="str">
            <v>EMT</v>
          </cell>
          <cell r="DM29" t="str">
            <v>BoD</v>
          </cell>
        </row>
        <row r="30">
          <cell r="A30">
            <v>25</v>
          </cell>
          <cell r="B30" t="str">
            <v>Tax structure not delivering the expected benefits</v>
          </cell>
          <cell r="C30" t="str">
            <v xml:space="preserve">Risk of the tax setup not delivering the expected benefits due to changes in tax rates </v>
          </cell>
          <cell r="D30" t="str">
            <v>not included in principal risks</v>
          </cell>
          <cell r="E30" t="str">
            <v>potential changes in governmant approach to taxation could trigger increase in corporate tax %</v>
          </cell>
          <cell r="F30" t="str">
            <v>External</v>
          </cell>
          <cell r="G30" t="e">
            <v>#REF!</v>
          </cell>
          <cell r="H30" t="str">
            <v>Low</v>
          </cell>
          <cell r="I30" t="str">
            <v>split setup between Netherlands and Austria can be questioned by authorities 7on one and/or the other side. In addition there could be macro-trends towards a minimum tax rate which might raise a risk in the near future</v>
          </cell>
          <cell r="J30">
            <v>3</v>
          </cell>
          <cell r="K30" t="str">
            <v>Impact could be up to 6% of the EBITA</v>
          </cell>
          <cell r="L30">
            <v>5</v>
          </cell>
          <cell r="M30">
            <v>15</v>
          </cell>
          <cell r="N30" t="str">
            <v>high</v>
          </cell>
          <cell r="O30" t="str">
            <v>risk dependant on external factors - mitigating measures (e.g. plan B tax strategy TBD)</v>
          </cell>
          <cell r="P30" t="str">
            <v>we just signed a new deal with tax authorities which would advantage us from 2022 till 2029. changes of government postion is currently possible  but unlikely to be up to 48 m Eur</v>
          </cell>
          <cell r="Q30">
            <v>3</v>
          </cell>
          <cell r="R30" t="str">
            <v>Impact likely to be within the range of 10 to 48 m Eur</v>
          </cell>
          <cell r="S30">
            <v>4</v>
          </cell>
          <cell r="T30">
            <v>12</v>
          </cell>
          <cell r="U30" t="str">
            <v>high</v>
          </cell>
          <cell r="V30">
            <v>0</v>
          </cell>
          <cell r="W30">
            <v>0</v>
          </cell>
          <cell r="Y30">
            <v>2</v>
          </cell>
          <cell r="AA30">
            <v>5</v>
          </cell>
          <cell r="AB30">
            <v>10</v>
          </cell>
          <cell r="AC30" t="str">
            <v>medium</v>
          </cell>
          <cell r="AD30" t="str">
            <v xml:space="preserve">Risk appetite towards this risk has been adjusted from Moderate to Limited to reflect the evolving corporate approach. </v>
          </cell>
          <cell r="AF30">
            <v>3</v>
          </cell>
          <cell r="AH30">
            <v>4</v>
          </cell>
          <cell r="AI30">
            <v>12</v>
          </cell>
          <cell r="AJ30" t="str">
            <v>high</v>
          </cell>
          <cell r="AK30">
            <v>2</v>
          </cell>
          <cell r="AL30">
            <v>2</v>
          </cell>
          <cell r="AM30" t="str">
            <v>we just signed a new deal with tax authorities which would advantage us from 2022 till 2029. changes of government postion is currently unlikely</v>
          </cell>
          <cell r="AN30">
            <v>2</v>
          </cell>
          <cell r="AO30" t="str">
            <v>Impact is equal to 6% of the EBITA</v>
          </cell>
          <cell r="AP30">
            <v>5</v>
          </cell>
          <cell r="AQ30">
            <v>10</v>
          </cell>
          <cell r="AR30" t="str">
            <v>medium</v>
          </cell>
          <cell r="AS30" t="str">
            <v>risk dependant on external factors - mitigating measures (e.g. plan B tax strategy TBD)</v>
          </cell>
          <cell r="AT30" t="str">
            <v>we just signed a new deal with tax authorities which would advantage us from 2022 till 2029. changes of government postion is currently unlikely</v>
          </cell>
          <cell r="AU30">
            <v>2</v>
          </cell>
          <cell r="AV30" t="str">
            <v>Impact is equal to 6% of the EBITA</v>
          </cell>
          <cell r="AW30">
            <v>5</v>
          </cell>
          <cell r="AX30">
            <v>10</v>
          </cell>
          <cell r="AY30" t="str">
            <v>medium</v>
          </cell>
          <cell r="AZ30">
            <v>10</v>
          </cell>
          <cell r="BA30">
            <v>10</v>
          </cell>
          <cell r="DJ30" t="str">
            <v>I. Botha</v>
          </cell>
          <cell r="DL30" t="str">
            <v>EMT</v>
          </cell>
          <cell r="DM30" t="str">
            <v>BoD</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Set>
  </externalBook>
</externalLink>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image" Target="../media/image6.png"/></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10.bin"/><Relationship Id="rId4" Type="http://schemas.openxmlformats.org/officeDocument/2006/relationships/image" Target="../media/image8.png"/></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omments" Target="../comments1.xml"/><Relationship Id="rId5" Type="http://schemas.openxmlformats.org/officeDocument/2006/relationships/image" Target="../media/image9.png"/><Relationship Id="rId4" Type="http://schemas.openxmlformats.org/officeDocument/2006/relationships/vmlDrawing" Target="../drawings/vmlDrawing5.v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3.bin"/><Relationship Id="rId4" Type="http://schemas.openxmlformats.org/officeDocument/2006/relationships/image" Target="../media/image10.png"/></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4.xml"/><Relationship Id="rId1" Type="http://schemas.openxmlformats.org/officeDocument/2006/relationships/printerSettings" Target="../printerSettings/printerSettings16.bin"/><Relationship Id="rId4" Type="http://schemas.openxmlformats.org/officeDocument/2006/relationships/image" Target="../media/image1.png"/></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9.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image" Target="../media/image1.png"/></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3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hyperlink" Target="https://www.rhimagnesita.com/wp-content/uploads/2025/02/ecertificate-at002868-rhi-9001-quality-management.pdf" TargetMode="External"/><Relationship Id="rId7" Type="http://schemas.openxmlformats.org/officeDocument/2006/relationships/vmlDrawing" Target="../drawings/vmlDrawing8.vml"/><Relationship Id="rId2" Type="http://schemas.openxmlformats.org/officeDocument/2006/relationships/hyperlink" Target="https://www.rhimagnesita.com/wp-content/uploads/2025/02/environmental-140012015.pdf" TargetMode="External"/><Relationship Id="rId1" Type="http://schemas.openxmlformats.org/officeDocument/2006/relationships/hyperlink" Target="https://www.rhimagnesita.com/our-sustainability/" TargetMode="External"/><Relationship Id="rId6" Type="http://schemas.openxmlformats.org/officeDocument/2006/relationships/printerSettings" Target="../printerSettings/printerSettings19.bin"/><Relationship Id="rId5" Type="http://schemas.openxmlformats.org/officeDocument/2006/relationships/hyperlink" Target="https://www.rhimagnesita.com/wp-content/uploads/2025/02/hs-iso-450012018.pdf" TargetMode="External"/><Relationship Id="rId4" Type="http://schemas.openxmlformats.org/officeDocument/2006/relationships/hyperlink" Target="https://www.rhimagnesita.com/wp-content/uploads/2025/02/ecertificate-at002878-rhi-50001-energy-management.pdf" TargetMode="Externa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https://www.rhimagnesita.com/wp-content/uploads/2023/02/supplier-code-of-conduct-2021.pdf" TargetMode="External"/><Relationship Id="rId7" Type="http://schemas.openxmlformats.org/officeDocument/2006/relationships/printerSettings" Target="../printerSettings/printerSettings4.bin"/><Relationship Id="rId2" Type="http://schemas.openxmlformats.org/officeDocument/2006/relationships/hyperlink" Target="https://ir.rhimagnesita.com/corporate-governance-2/code-of-conduct/" TargetMode="External"/><Relationship Id="rId1" Type="http://schemas.openxmlformats.org/officeDocument/2006/relationships/hyperlink" Target="https://ir.rhimagnesita.com/corporate-governance-2/" TargetMode="External"/><Relationship Id="rId6" Type="http://schemas.openxmlformats.org/officeDocument/2006/relationships/hyperlink" Target="https://www.rhimagnesita.com/wp-content/uploads/2026/03/sustainability-statement-2025.pdf" TargetMode="External"/><Relationship Id="rId5" Type="http://schemas.openxmlformats.org/officeDocument/2006/relationships/hyperlink" Target="https://ir.rhimagnesita.com/wp-content/uploads/2026/03/rhim-modern-slavery-statement-2026.pdf" TargetMode="External"/><Relationship Id="rId4" Type="http://schemas.openxmlformats.org/officeDocument/2006/relationships/hyperlink" Target="https://www.rhimagnesita.com/our-sustainability/ethics-compliance-policies/" TargetMode="External"/></Relationships>
</file>

<file path=xl/worksheets/_rels/sheet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xbrl.efrag.org/e-esrs/esrs-set1-2023.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BA504-D932-4400-8CEC-79FEF1118D68}">
  <dimension ref="A2:I174"/>
  <sheetViews>
    <sheetView showGridLines="0" zoomScale="87" zoomScaleNormal="87" workbookViewId="0">
      <selection activeCell="L12" sqref="L12"/>
    </sheetView>
  </sheetViews>
  <sheetFormatPr baseColWidth="10" defaultColWidth="8.44140625" defaultRowHeight="14.4" x14ac:dyDescent="0.3"/>
  <cols>
    <col min="2" max="2" width="50.44140625" customWidth="1"/>
    <col min="3" max="3" width="24.44140625" customWidth="1"/>
    <col min="4" max="4" width="14.44140625" bestFit="1" customWidth="1"/>
    <col min="5" max="6" width="13.44140625" bestFit="1" customWidth="1"/>
    <col min="7" max="7" width="10.44140625" customWidth="1"/>
  </cols>
  <sheetData>
    <row r="2" spans="1:7" x14ac:dyDescent="0.3">
      <c r="A2" s="4" t="s">
        <v>25</v>
      </c>
    </row>
    <row r="3" spans="1:7" x14ac:dyDescent="0.3">
      <c r="B3" s="58" t="s">
        <v>26</v>
      </c>
      <c r="C3" s="59"/>
      <c r="D3" s="58">
        <v>2018</v>
      </c>
      <c r="E3" s="58">
        <v>2019</v>
      </c>
      <c r="F3" s="58">
        <v>2020</v>
      </c>
      <c r="G3" s="58">
        <v>2021</v>
      </c>
    </row>
    <row r="5" spans="1:7" x14ac:dyDescent="0.3">
      <c r="B5" s="33" t="s">
        <v>27</v>
      </c>
      <c r="C5" s="35" t="s">
        <v>28</v>
      </c>
      <c r="D5" s="31">
        <v>5453000</v>
      </c>
      <c r="E5" s="31">
        <v>4681000</v>
      </c>
      <c r="F5" s="31">
        <v>4277000</v>
      </c>
      <c r="G5" s="31">
        <v>4878000</v>
      </c>
    </row>
    <row r="6" spans="1:7" x14ac:dyDescent="0.3">
      <c r="B6" s="7"/>
      <c r="C6" s="36" t="s">
        <v>29</v>
      </c>
      <c r="D6" s="7">
        <v>1.89</v>
      </c>
      <c r="E6" s="7">
        <v>1.85</v>
      </c>
      <c r="F6" s="7">
        <v>1.96</v>
      </c>
      <c r="G6" s="37">
        <v>1.82</v>
      </c>
    </row>
    <row r="7" spans="1:7" x14ac:dyDescent="0.3">
      <c r="B7" s="32"/>
      <c r="C7" s="32"/>
      <c r="D7" s="32"/>
      <c r="E7" s="32"/>
      <c r="F7" s="32"/>
      <c r="G7" s="32"/>
    </row>
    <row r="9" spans="1:7" ht="28.8" x14ac:dyDescent="0.3">
      <c r="B9" s="33" t="s">
        <v>2</v>
      </c>
      <c r="C9" s="34" t="s">
        <v>17</v>
      </c>
      <c r="D9" s="31">
        <v>5718</v>
      </c>
      <c r="E9" s="31">
        <v>5227</v>
      </c>
      <c r="F9" s="31">
        <v>4577</v>
      </c>
      <c r="G9" s="31">
        <v>5184</v>
      </c>
    </row>
    <row r="10" spans="1:7" x14ac:dyDescent="0.3">
      <c r="B10" s="38"/>
      <c r="C10" s="39" t="s">
        <v>30</v>
      </c>
      <c r="D10" s="40">
        <v>1.98</v>
      </c>
      <c r="E10" s="40">
        <v>1.93</v>
      </c>
      <c r="F10" s="40">
        <v>2.0299999999999998</v>
      </c>
      <c r="G10" s="8">
        <v>1.93</v>
      </c>
    </row>
    <row r="12" spans="1:7" ht="28.8" x14ac:dyDescent="0.3">
      <c r="B12" s="33" t="s">
        <v>3</v>
      </c>
      <c r="C12" s="39" t="s">
        <v>18</v>
      </c>
      <c r="D12" s="41">
        <v>3.7999999999999999E-2</v>
      </c>
      <c r="E12" s="41">
        <v>4.5999999999999999E-2</v>
      </c>
      <c r="F12" s="41">
        <v>0.05</v>
      </c>
      <c r="G12" s="41">
        <v>6.8000000000000005E-2</v>
      </c>
    </row>
    <row r="14" spans="1:7" x14ac:dyDescent="0.3">
      <c r="B14" s="33" t="s">
        <v>19</v>
      </c>
      <c r="C14" s="38" t="s">
        <v>21</v>
      </c>
      <c r="D14" s="42">
        <v>7.0000000000000007E-2</v>
      </c>
      <c r="E14" s="42">
        <v>0.23</v>
      </c>
      <c r="F14" s="42">
        <v>0.25</v>
      </c>
      <c r="G14" s="42">
        <v>0.38</v>
      </c>
    </row>
    <row r="15" spans="1:7" x14ac:dyDescent="0.3">
      <c r="B15" s="32"/>
      <c r="C15" s="43" t="s">
        <v>22</v>
      </c>
      <c r="D15" s="44">
        <v>0.12</v>
      </c>
      <c r="E15" s="44">
        <v>0.17</v>
      </c>
      <c r="F15" s="44">
        <v>0.25</v>
      </c>
      <c r="G15" s="42">
        <v>0.22</v>
      </c>
    </row>
    <row r="17" spans="1:9" x14ac:dyDescent="0.3">
      <c r="B17" s="33" t="s">
        <v>31</v>
      </c>
      <c r="C17" s="39" t="s">
        <v>23</v>
      </c>
      <c r="D17" s="38">
        <v>0.43</v>
      </c>
      <c r="E17" s="38">
        <v>0.28000000000000003</v>
      </c>
      <c r="F17" s="38">
        <v>0.13</v>
      </c>
      <c r="G17" s="38">
        <v>0.18</v>
      </c>
    </row>
    <row r="19" spans="1:9" ht="43.2" x14ac:dyDescent="0.3">
      <c r="B19" s="33" t="s">
        <v>24</v>
      </c>
      <c r="C19" s="39" t="s">
        <v>32</v>
      </c>
      <c r="D19" s="38"/>
      <c r="E19" s="39" t="s">
        <v>33</v>
      </c>
      <c r="F19" s="39" t="s">
        <v>34</v>
      </c>
      <c r="G19" s="39" t="s">
        <v>35</v>
      </c>
    </row>
    <row r="21" spans="1:9" x14ac:dyDescent="0.3">
      <c r="B21" s="4" t="s">
        <v>36</v>
      </c>
    </row>
    <row r="22" spans="1:9" ht="28.8" x14ac:dyDescent="0.3">
      <c r="A22">
        <v>2</v>
      </c>
      <c r="B22" s="19"/>
      <c r="C22" s="20" t="s">
        <v>37</v>
      </c>
      <c r="D22" s="21"/>
      <c r="E22" s="21"/>
      <c r="F22" s="21"/>
    </row>
    <row r="23" spans="1:9" x14ac:dyDescent="0.3">
      <c r="B23" s="60"/>
      <c r="C23" s="60">
        <v>2018</v>
      </c>
      <c r="D23" s="60">
        <v>2019</v>
      </c>
      <c r="E23" s="60">
        <v>2020</v>
      </c>
      <c r="F23" s="60">
        <v>2021</v>
      </c>
    </row>
    <row r="24" spans="1:9" x14ac:dyDescent="0.3">
      <c r="B24" s="12"/>
      <c r="C24" s="12"/>
      <c r="D24" s="12"/>
      <c r="E24" s="12"/>
      <c r="F24" s="12"/>
      <c r="I24" s="61"/>
    </row>
    <row r="25" spans="1:9" x14ac:dyDescent="0.3">
      <c r="B25" s="11" t="s">
        <v>38</v>
      </c>
      <c r="C25" s="10">
        <v>2396</v>
      </c>
      <c r="D25" s="10">
        <v>2008</v>
      </c>
      <c r="E25" s="10">
        <v>1973</v>
      </c>
      <c r="F25" s="10">
        <v>2493</v>
      </c>
    </row>
    <row r="26" spans="1:9" x14ac:dyDescent="0.3">
      <c r="B26" s="9" t="s">
        <v>39</v>
      </c>
      <c r="C26" s="10">
        <v>1305</v>
      </c>
      <c r="D26" s="10">
        <v>1066</v>
      </c>
      <c r="E26" s="10">
        <v>1075</v>
      </c>
      <c r="F26" s="10">
        <v>1330</v>
      </c>
    </row>
    <row r="27" spans="1:9" x14ac:dyDescent="0.3">
      <c r="B27" s="9" t="s">
        <v>40</v>
      </c>
      <c r="C27" s="10">
        <v>1045</v>
      </c>
      <c r="D27" s="9">
        <v>918</v>
      </c>
      <c r="E27" s="9">
        <v>873</v>
      </c>
      <c r="F27" s="10">
        <v>1129</v>
      </c>
    </row>
    <row r="28" spans="1:9" x14ac:dyDescent="0.3">
      <c r="B28" s="9" t="s">
        <v>41</v>
      </c>
      <c r="C28" s="10">
        <v>46</v>
      </c>
      <c r="D28" s="9">
        <v>24</v>
      </c>
      <c r="E28" s="9">
        <v>25</v>
      </c>
      <c r="F28" s="10">
        <v>34</v>
      </c>
    </row>
    <row r="29" spans="1:9" x14ac:dyDescent="0.3">
      <c r="B29" s="11" t="s">
        <v>42</v>
      </c>
      <c r="C29" s="10">
        <v>206</v>
      </c>
      <c r="D29" s="9">
        <v>188</v>
      </c>
      <c r="E29" s="9">
        <v>143</v>
      </c>
      <c r="F29" s="10">
        <v>112</v>
      </c>
    </row>
    <row r="30" spans="1:9" x14ac:dyDescent="0.3">
      <c r="B30" s="9" t="s">
        <v>43</v>
      </c>
      <c r="C30" s="10">
        <v>2851</v>
      </c>
      <c r="D30" s="10">
        <v>2486</v>
      </c>
      <c r="E30" s="10">
        <v>2161</v>
      </c>
      <c r="F30" s="10">
        <v>2273</v>
      </c>
    </row>
    <row r="31" spans="1:9" x14ac:dyDescent="0.3">
      <c r="B31" s="11" t="s">
        <v>44</v>
      </c>
      <c r="C31" s="10">
        <v>5453</v>
      </c>
      <c r="D31" s="10">
        <v>4681</v>
      </c>
      <c r="E31" s="10">
        <v>4277</v>
      </c>
      <c r="F31" s="10">
        <v>4878</v>
      </c>
    </row>
    <row r="33" spans="1:7" x14ac:dyDescent="0.3">
      <c r="A33">
        <v>3</v>
      </c>
      <c r="B33" s="13"/>
      <c r="C33" s="13"/>
      <c r="D33" s="13"/>
      <c r="E33" s="13"/>
      <c r="F33" s="13"/>
      <c r="G33" s="14"/>
    </row>
    <row r="34" spans="1:7" x14ac:dyDescent="0.3">
      <c r="B34" s="60"/>
      <c r="C34" s="60">
        <v>2018</v>
      </c>
      <c r="D34" s="60">
        <v>2019</v>
      </c>
      <c r="E34" s="60">
        <v>2020</v>
      </c>
      <c r="F34" s="60">
        <v>2021</v>
      </c>
      <c r="G34" s="60"/>
    </row>
    <row r="35" spans="1:7" ht="43.2" x14ac:dyDescent="0.3">
      <c r="B35" s="12"/>
      <c r="C35" s="12"/>
      <c r="D35" s="12"/>
      <c r="E35" s="12"/>
      <c r="F35" s="12"/>
      <c r="G35" s="14" t="s">
        <v>45</v>
      </c>
    </row>
    <row r="36" spans="1:7" x14ac:dyDescent="0.3">
      <c r="B36" s="9" t="s">
        <v>46</v>
      </c>
      <c r="C36" s="17" t="s">
        <v>47</v>
      </c>
      <c r="D36" s="17" t="s">
        <v>48</v>
      </c>
      <c r="E36" s="17" t="s">
        <v>49</v>
      </c>
      <c r="F36" s="22" t="s">
        <v>50</v>
      </c>
      <c r="G36" s="23">
        <v>-3.6999999999999998E-2</v>
      </c>
    </row>
    <row r="40" spans="1:7" x14ac:dyDescent="0.3">
      <c r="A40">
        <v>4</v>
      </c>
      <c r="B40" s="62" t="s">
        <v>51</v>
      </c>
      <c r="C40" s="63"/>
    </row>
    <row r="41" spans="1:7" x14ac:dyDescent="0.3">
      <c r="B41" s="52" t="s">
        <v>52</v>
      </c>
      <c r="C41" s="53">
        <v>0.45200000000000001</v>
      </c>
    </row>
    <row r="42" spans="1:7" x14ac:dyDescent="0.3">
      <c r="B42" s="52" t="s">
        <v>53</v>
      </c>
      <c r="C42" s="53">
        <v>0.27300000000000002</v>
      </c>
    </row>
    <row r="43" spans="1:7" x14ac:dyDescent="0.3">
      <c r="B43" s="52" t="s">
        <v>54</v>
      </c>
      <c r="C43" s="53">
        <v>0.108</v>
      </c>
    </row>
    <row r="44" spans="1:7" x14ac:dyDescent="0.3">
      <c r="B44" s="52" t="s">
        <v>55</v>
      </c>
      <c r="C44" s="53">
        <v>4.8000000000000001E-2</v>
      </c>
    </row>
    <row r="45" spans="1:7" x14ac:dyDescent="0.3">
      <c r="B45" s="52" t="s">
        <v>56</v>
      </c>
      <c r="C45" s="53">
        <v>4.3999999999999997E-2</v>
      </c>
    </row>
    <row r="46" spans="1:7" x14ac:dyDescent="0.3">
      <c r="B46" s="52" t="s">
        <v>57</v>
      </c>
      <c r="C46" s="53">
        <v>3.7999999999999999E-2</v>
      </c>
    </row>
    <row r="47" spans="1:7" x14ac:dyDescent="0.3">
      <c r="B47" s="52" t="s">
        <v>58</v>
      </c>
      <c r="C47" s="53">
        <v>2.7E-2</v>
      </c>
    </row>
    <row r="48" spans="1:7" x14ac:dyDescent="0.3">
      <c r="B48" s="52" t="s">
        <v>59</v>
      </c>
      <c r="C48" s="53">
        <v>4.0000000000000001E-3</v>
      </c>
    </row>
    <row r="49" spans="1:6" x14ac:dyDescent="0.3">
      <c r="B49" s="52" t="s">
        <v>60</v>
      </c>
      <c r="C49" s="53">
        <v>2E-3</v>
      </c>
    </row>
    <row r="50" spans="1:6" x14ac:dyDescent="0.3">
      <c r="B50" s="52" t="s">
        <v>61</v>
      </c>
      <c r="C50" s="53">
        <v>1E-3</v>
      </c>
    </row>
    <row r="51" spans="1:6" x14ac:dyDescent="0.3">
      <c r="B51" s="52" t="s">
        <v>62</v>
      </c>
      <c r="C51" s="53">
        <v>1E-3</v>
      </c>
    </row>
    <row r="52" spans="1:6" x14ac:dyDescent="0.3">
      <c r="B52" s="52" t="s">
        <v>63</v>
      </c>
      <c r="C52" s="53">
        <v>1E-3</v>
      </c>
    </row>
    <row r="53" spans="1:6" x14ac:dyDescent="0.3">
      <c r="B53" s="52" t="s">
        <v>64</v>
      </c>
      <c r="C53" s="53">
        <v>1E-3</v>
      </c>
    </row>
    <row r="55" spans="1:6" x14ac:dyDescent="0.3">
      <c r="B55" s="54" t="s">
        <v>2</v>
      </c>
    </row>
    <row r="56" spans="1:6" x14ac:dyDescent="0.3">
      <c r="A56">
        <v>5</v>
      </c>
      <c r="B56" s="60" t="s">
        <v>65</v>
      </c>
      <c r="C56" s="60">
        <v>2018</v>
      </c>
      <c r="D56" s="60">
        <v>2019</v>
      </c>
      <c r="E56" s="60">
        <v>2020</v>
      </c>
      <c r="F56" s="60">
        <v>2021</v>
      </c>
    </row>
    <row r="57" spans="1:6" x14ac:dyDescent="0.3">
      <c r="B57" s="12"/>
      <c r="C57" s="12"/>
      <c r="D57" s="12"/>
      <c r="E57" s="12"/>
      <c r="F57" s="12"/>
    </row>
    <row r="58" spans="1:6" x14ac:dyDescent="0.3">
      <c r="B58" s="15" t="s">
        <v>17</v>
      </c>
      <c r="C58" s="10">
        <v>5718</v>
      </c>
      <c r="D58" s="10">
        <v>5227</v>
      </c>
      <c r="E58" s="10">
        <v>4577</v>
      </c>
      <c r="F58" s="10">
        <v>5184</v>
      </c>
    </row>
    <row r="59" spans="1:6" x14ac:dyDescent="0.3">
      <c r="B59" s="16" t="s">
        <v>30</v>
      </c>
      <c r="C59" s="17">
        <v>1.98</v>
      </c>
      <c r="D59" s="17">
        <v>1.93</v>
      </c>
      <c r="E59" s="17">
        <v>2.0299999999999998</v>
      </c>
      <c r="F59" s="17">
        <v>1.93</v>
      </c>
    </row>
    <row r="61" spans="1:6" x14ac:dyDescent="0.3">
      <c r="A61">
        <v>6</v>
      </c>
      <c r="B61" s="60" t="s">
        <v>2</v>
      </c>
      <c r="C61" s="63">
        <v>2018</v>
      </c>
      <c r="D61" s="63">
        <v>2019</v>
      </c>
      <c r="E61" s="63">
        <v>2020</v>
      </c>
      <c r="F61" s="63">
        <v>2021</v>
      </c>
    </row>
    <row r="62" spans="1:6" x14ac:dyDescent="0.3">
      <c r="B62" s="12"/>
      <c r="C62" s="12"/>
      <c r="D62" s="12"/>
      <c r="E62" s="12"/>
      <c r="F62" s="12"/>
    </row>
    <row r="63" spans="1:6" x14ac:dyDescent="0.3">
      <c r="B63" s="9" t="s">
        <v>66</v>
      </c>
      <c r="C63" s="25">
        <v>2992361128.6672554</v>
      </c>
      <c r="D63" s="25">
        <v>2788253741.3887405</v>
      </c>
      <c r="E63" s="25">
        <v>2443710621.9097133</v>
      </c>
      <c r="F63" s="25">
        <v>2683523842.9871502</v>
      </c>
    </row>
    <row r="64" spans="1:6" x14ac:dyDescent="0.3">
      <c r="B64" s="9" t="s">
        <v>67</v>
      </c>
      <c r="C64" s="25">
        <v>700638964.01228535</v>
      </c>
      <c r="D64" s="25">
        <v>682038900.86677194</v>
      </c>
      <c r="E64" s="25">
        <v>521900007.86413103</v>
      </c>
      <c r="F64" s="25">
        <v>580630304.30080175</v>
      </c>
    </row>
    <row r="65" spans="1:6" x14ac:dyDescent="0.3">
      <c r="B65" s="9" t="s">
        <v>68</v>
      </c>
      <c r="C65" s="25">
        <v>995472023.07472003</v>
      </c>
      <c r="D65" s="25">
        <v>852577016.21286285</v>
      </c>
      <c r="E65" s="25">
        <v>753726604.63712573</v>
      </c>
      <c r="F65" s="25">
        <v>789867486.94349051</v>
      </c>
    </row>
    <row r="66" spans="1:6" x14ac:dyDescent="0.3">
      <c r="B66" s="9" t="s">
        <v>69</v>
      </c>
      <c r="C66" s="25">
        <v>78112817.166141465</v>
      </c>
      <c r="D66" s="25">
        <v>72635862.502255782</v>
      </c>
      <c r="E66" s="25">
        <v>61824118.813216783</v>
      </c>
      <c r="F66" s="25">
        <v>70202795.002276182</v>
      </c>
    </row>
    <row r="67" spans="1:6" x14ac:dyDescent="0.3">
      <c r="B67" s="9" t="s">
        <v>70</v>
      </c>
      <c r="C67" s="25">
        <v>15753728.074400002</v>
      </c>
      <c r="D67" s="25">
        <v>23270196.809040003</v>
      </c>
      <c r="E67" s="25">
        <v>21033117.014080007</v>
      </c>
      <c r="F67" s="25">
        <v>23408528.704469338</v>
      </c>
    </row>
    <row r="68" spans="1:6" x14ac:dyDescent="0.3">
      <c r="B68" s="9" t="s">
        <v>71</v>
      </c>
      <c r="C68" s="25">
        <v>935334915.77376425</v>
      </c>
      <c r="D68" s="25">
        <v>808686893.6792084</v>
      </c>
      <c r="E68" s="25">
        <v>775275017.97771728</v>
      </c>
      <c r="F68" s="25">
        <v>1036718286.7655609</v>
      </c>
    </row>
    <row r="69" spans="1:6" x14ac:dyDescent="0.3">
      <c r="B69" s="9" t="s">
        <v>72</v>
      </c>
      <c r="C69" s="25">
        <v>5717673576.7685671</v>
      </c>
      <c r="D69" s="25">
        <v>5227462611.4588795</v>
      </c>
      <c r="E69" s="25">
        <v>4577469488.2159834</v>
      </c>
      <c r="F69" s="25">
        <v>5184351244.7037497</v>
      </c>
    </row>
    <row r="71" spans="1:6" x14ac:dyDescent="0.3">
      <c r="A71">
        <v>7</v>
      </c>
      <c r="B71" s="60" t="s">
        <v>73</v>
      </c>
      <c r="C71" s="60">
        <v>2018</v>
      </c>
      <c r="D71" s="60">
        <v>2019</v>
      </c>
      <c r="E71" s="60">
        <v>2020</v>
      </c>
      <c r="F71" s="60">
        <v>2021</v>
      </c>
    </row>
    <row r="72" spans="1:6" x14ac:dyDescent="0.3">
      <c r="B72" s="12"/>
      <c r="C72" s="12"/>
      <c r="D72" s="12"/>
      <c r="E72" s="12"/>
      <c r="F72" s="12"/>
    </row>
    <row r="73" spans="1:6" x14ac:dyDescent="0.3">
      <c r="B73" s="9" t="s">
        <v>74</v>
      </c>
      <c r="C73" s="18">
        <v>0.53</v>
      </c>
      <c r="D73" s="18">
        <v>0.53</v>
      </c>
      <c r="E73" s="18">
        <v>0.53</v>
      </c>
      <c r="F73" s="18">
        <v>0.52</v>
      </c>
    </row>
    <row r="74" spans="1:6" x14ac:dyDescent="0.3">
      <c r="B74" s="9" t="s">
        <v>75</v>
      </c>
      <c r="C74" s="18">
        <v>0.12</v>
      </c>
      <c r="D74" s="18">
        <v>0.16</v>
      </c>
      <c r="E74" s="18">
        <v>0.17</v>
      </c>
      <c r="F74" s="18">
        <v>0.11</v>
      </c>
    </row>
    <row r="75" spans="1:6" x14ac:dyDescent="0.3">
      <c r="B75" s="9" t="s">
        <v>76</v>
      </c>
      <c r="C75" s="18">
        <v>0.18</v>
      </c>
      <c r="D75" s="18">
        <v>0.16</v>
      </c>
      <c r="E75" s="18">
        <v>0.17</v>
      </c>
      <c r="F75" s="18">
        <v>0.15</v>
      </c>
    </row>
    <row r="76" spans="1:6" x14ac:dyDescent="0.3">
      <c r="B76" s="9" t="s">
        <v>77</v>
      </c>
      <c r="C76" s="18">
        <v>0.01</v>
      </c>
      <c r="D76" s="18">
        <v>0.13</v>
      </c>
      <c r="E76" s="18">
        <v>0.11</v>
      </c>
      <c r="F76" s="18">
        <v>0.01</v>
      </c>
    </row>
    <row r="77" spans="1:6" x14ac:dyDescent="0.3">
      <c r="B77" s="9" t="s">
        <v>63</v>
      </c>
      <c r="C77" s="18">
        <v>0</v>
      </c>
      <c r="D77" s="18">
        <v>0.01</v>
      </c>
      <c r="E77" s="18">
        <v>0.01</v>
      </c>
      <c r="F77" s="18">
        <v>0</v>
      </c>
    </row>
    <row r="78" spans="1:6" x14ac:dyDescent="0.3">
      <c r="B78" s="9" t="s">
        <v>78</v>
      </c>
      <c r="C78" s="18">
        <v>0.16</v>
      </c>
      <c r="D78" s="18">
        <v>0.01</v>
      </c>
      <c r="E78" s="18">
        <v>0.01</v>
      </c>
      <c r="F78" s="18">
        <v>0.2</v>
      </c>
    </row>
    <row r="82" spans="1:7" x14ac:dyDescent="0.3">
      <c r="B82" s="4" t="s">
        <v>3</v>
      </c>
    </row>
    <row r="83" spans="1:7" x14ac:dyDescent="0.3">
      <c r="A83">
        <v>8</v>
      </c>
      <c r="B83" s="64"/>
      <c r="C83" s="64">
        <v>2018</v>
      </c>
      <c r="D83" s="64">
        <v>2019</v>
      </c>
      <c r="E83" s="64">
        <v>2020</v>
      </c>
      <c r="F83" s="68">
        <v>2021</v>
      </c>
    </row>
    <row r="84" spans="1:7" x14ac:dyDescent="0.3">
      <c r="B84" s="12"/>
      <c r="C84" s="12"/>
      <c r="D84" s="12"/>
      <c r="E84" s="12"/>
      <c r="F84" s="12"/>
    </row>
    <row r="85" spans="1:7" x14ac:dyDescent="0.3">
      <c r="B85" s="26" t="s">
        <v>79</v>
      </c>
      <c r="C85" s="27">
        <v>3.7999999999999999E-2</v>
      </c>
      <c r="D85" s="28">
        <v>4.5999999999999999E-2</v>
      </c>
      <c r="E85" s="28">
        <v>0.05</v>
      </c>
      <c r="F85" s="28">
        <v>6.8000000000000005E-2</v>
      </c>
    </row>
    <row r="87" spans="1:7" x14ac:dyDescent="0.3">
      <c r="A87">
        <v>9</v>
      </c>
      <c r="B87" s="12"/>
      <c r="C87" s="67">
        <v>2018</v>
      </c>
      <c r="D87" s="67">
        <v>2019</v>
      </c>
      <c r="E87" s="67">
        <v>2020</v>
      </c>
      <c r="F87" s="67">
        <v>2021</v>
      </c>
    </row>
    <row r="88" spans="1:7" x14ac:dyDescent="0.3">
      <c r="B88" s="12"/>
      <c r="C88" s="12"/>
      <c r="D88" s="12"/>
      <c r="E88" s="12"/>
      <c r="F88" s="12"/>
    </row>
    <row r="89" spans="1:7" x14ac:dyDescent="0.3">
      <c r="B89" s="9" t="s">
        <v>80</v>
      </c>
      <c r="C89" s="25">
        <v>109808.963168153</v>
      </c>
      <c r="D89" s="25">
        <v>116551.27480170826</v>
      </c>
      <c r="E89" s="25">
        <v>108934.13838678027</v>
      </c>
      <c r="F89" s="25">
        <v>182498.55345861171</v>
      </c>
    </row>
    <row r="90" spans="1:7" x14ac:dyDescent="0.3">
      <c r="B90" s="9" t="s">
        <v>81</v>
      </c>
      <c r="C90" s="25">
        <v>197656.13370267575</v>
      </c>
      <c r="D90" s="25">
        <v>209792.29464307489</v>
      </c>
      <c r="E90" s="25">
        <v>196081.44909620448</v>
      </c>
      <c r="F90" s="25">
        <v>328497.39622550108</v>
      </c>
    </row>
    <row r="95" spans="1:7" x14ac:dyDescent="0.3">
      <c r="B95" s="4" t="s">
        <v>82</v>
      </c>
    </row>
    <row r="96" spans="1:7" x14ac:dyDescent="0.3">
      <c r="A96">
        <v>10</v>
      </c>
      <c r="B96" s="60" t="s">
        <v>83</v>
      </c>
      <c r="C96" s="60">
        <v>2017</v>
      </c>
      <c r="D96" s="60">
        <v>2018</v>
      </c>
      <c r="E96" s="60">
        <v>2019</v>
      </c>
      <c r="F96" s="60">
        <v>2020</v>
      </c>
      <c r="G96" s="60">
        <v>2021</v>
      </c>
    </row>
    <row r="97" spans="1:7" x14ac:dyDescent="0.3">
      <c r="B97" s="12"/>
      <c r="C97" s="12"/>
      <c r="D97" s="12"/>
      <c r="E97" s="12"/>
      <c r="F97" s="12"/>
      <c r="G97" s="12"/>
    </row>
    <row r="98" spans="1:7" x14ac:dyDescent="0.3">
      <c r="B98" s="9" t="s">
        <v>84</v>
      </c>
      <c r="C98" s="25">
        <v>4193.4061000000002</v>
      </c>
      <c r="D98" s="25">
        <v>10323.034866266</v>
      </c>
      <c r="E98" s="25">
        <v>17709.776666265996</v>
      </c>
      <c r="F98" s="25">
        <v>8269.2475662659999</v>
      </c>
      <c r="G98" s="25">
        <v>5163.4627216529907</v>
      </c>
    </row>
    <row r="99" spans="1:7" x14ac:dyDescent="0.3">
      <c r="B99" s="9" t="s">
        <v>85</v>
      </c>
      <c r="C99" s="25">
        <v>49410.147984246985</v>
      </c>
      <c r="D99" s="25">
        <v>108953.63705831367</v>
      </c>
      <c r="E99" s="25">
        <v>89113.699328609931</v>
      </c>
      <c r="F99" s="25">
        <v>98303.644278609921</v>
      </c>
      <c r="G99" s="25">
        <v>103296.74419646422</v>
      </c>
    </row>
    <row r="100" spans="1:7" x14ac:dyDescent="0.3">
      <c r="B100" s="9" t="s">
        <v>86</v>
      </c>
      <c r="C100" s="25">
        <v>53603.554084246985</v>
      </c>
      <c r="D100" s="25">
        <v>119276.67192457967</v>
      </c>
      <c r="E100" s="25">
        <v>106823.47599487593</v>
      </c>
      <c r="F100" s="25">
        <v>106572.89184487592</v>
      </c>
      <c r="G100" s="25">
        <v>108460.20691811721</v>
      </c>
    </row>
    <row r="101" spans="1:7" x14ac:dyDescent="0.3">
      <c r="B101" s="57" t="s">
        <v>87</v>
      </c>
    </row>
    <row r="103" spans="1:7" x14ac:dyDescent="0.3">
      <c r="B103" s="4" t="s">
        <v>4</v>
      </c>
    </row>
    <row r="104" spans="1:7" x14ac:dyDescent="0.3">
      <c r="A104">
        <v>11</v>
      </c>
      <c r="B104" s="60"/>
      <c r="C104" s="60">
        <v>2019</v>
      </c>
      <c r="D104" s="60">
        <v>2020</v>
      </c>
      <c r="E104" s="60">
        <v>2021</v>
      </c>
    </row>
    <row r="105" spans="1:7" x14ac:dyDescent="0.3">
      <c r="B105" s="12"/>
      <c r="C105" s="12"/>
      <c r="D105" s="12"/>
      <c r="E105" s="12"/>
    </row>
    <row r="106" spans="1:7" x14ac:dyDescent="0.3">
      <c r="B106" s="9" t="s">
        <v>88</v>
      </c>
      <c r="C106" s="9">
        <v>14.8</v>
      </c>
      <c r="D106" s="9">
        <v>12.5</v>
      </c>
      <c r="E106" s="24">
        <v>13</v>
      </c>
    </row>
    <row r="107" spans="1:7" x14ac:dyDescent="0.3">
      <c r="B107" s="9" t="s">
        <v>89</v>
      </c>
      <c r="C107" s="9">
        <v>1.5</v>
      </c>
      <c r="D107" s="9">
        <v>1.1000000000000001</v>
      </c>
      <c r="E107" s="9">
        <v>1.3</v>
      </c>
    </row>
    <row r="111" spans="1:7" x14ac:dyDescent="0.3">
      <c r="B111" s="4" t="s">
        <v>90</v>
      </c>
    </row>
    <row r="112" spans="1:7" x14ac:dyDescent="0.3">
      <c r="A112">
        <v>12</v>
      </c>
      <c r="B112" s="60" t="s">
        <v>91</v>
      </c>
      <c r="C112" s="60">
        <v>2017</v>
      </c>
      <c r="D112" s="60">
        <v>2018</v>
      </c>
      <c r="E112" s="60">
        <v>2019</v>
      </c>
      <c r="F112" s="60">
        <v>2020</v>
      </c>
      <c r="G112" s="60">
        <v>2021</v>
      </c>
    </row>
    <row r="113" spans="1:7" x14ac:dyDescent="0.3">
      <c r="B113" s="12"/>
      <c r="C113" s="12"/>
      <c r="D113" s="12"/>
      <c r="E113" s="12"/>
      <c r="F113" s="12"/>
      <c r="G113" s="12"/>
    </row>
    <row r="114" spans="1:7" x14ac:dyDescent="0.3">
      <c r="B114" s="9" t="s">
        <v>92</v>
      </c>
      <c r="C114" s="17" t="s">
        <v>93</v>
      </c>
      <c r="D114" s="17" t="s">
        <v>93</v>
      </c>
      <c r="E114" s="25">
        <v>18569.177299000003</v>
      </c>
      <c r="F114" s="25">
        <v>18552.324299</v>
      </c>
      <c r="G114" s="25">
        <v>18775.618499000004</v>
      </c>
    </row>
    <row r="115" spans="1:7" x14ac:dyDescent="0.3">
      <c r="B115" s="9" t="s">
        <v>94</v>
      </c>
      <c r="C115" s="17" t="s">
        <v>93</v>
      </c>
      <c r="D115" s="17" t="s">
        <v>93</v>
      </c>
      <c r="E115" s="25">
        <v>15486</v>
      </c>
      <c r="F115" s="25">
        <v>15253</v>
      </c>
      <c r="G115" s="25">
        <v>13224</v>
      </c>
    </row>
    <row r="116" spans="1:7" ht="28.8" x14ac:dyDescent="0.3">
      <c r="B116" s="16" t="s">
        <v>95</v>
      </c>
      <c r="C116" s="17" t="s">
        <v>93</v>
      </c>
      <c r="D116" s="17" t="s">
        <v>93</v>
      </c>
      <c r="E116" s="25">
        <v>316.89508199999995</v>
      </c>
      <c r="F116" s="25">
        <v>270.19508199999996</v>
      </c>
      <c r="G116" s="25">
        <v>204.49508199999997</v>
      </c>
    </row>
    <row r="120" spans="1:7" x14ac:dyDescent="0.3">
      <c r="B120" s="4" t="s">
        <v>96</v>
      </c>
    </row>
    <row r="121" spans="1:7" x14ac:dyDescent="0.3">
      <c r="A121">
        <v>13</v>
      </c>
      <c r="B121" s="60"/>
      <c r="C121" s="66">
        <v>2018</v>
      </c>
      <c r="D121" s="66">
        <v>2019</v>
      </c>
      <c r="E121" s="66">
        <v>2020</v>
      </c>
      <c r="F121" s="66">
        <v>2021</v>
      </c>
    </row>
    <row r="122" spans="1:7" x14ac:dyDescent="0.3">
      <c r="B122" s="12"/>
      <c r="C122" s="12"/>
      <c r="D122" s="12"/>
      <c r="E122" s="12"/>
      <c r="F122" s="12"/>
    </row>
    <row r="123" spans="1:7" x14ac:dyDescent="0.3">
      <c r="B123" s="45" t="s">
        <v>97</v>
      </c>
      <c r="C123" s="13">
        <v>0.43</v>
      </c>
      <c r="D123" s="13">
        <v>0.28000000000000003</v>
      </c>
      <c r="E123" s="13">
        <v>0.13</v>
      </c>
      <c r="F123" s="13">
        <v>0.18</v>
      </c>
    </row>
    <row r="124" spans="1:7" x14ac:dyDescent="0.3">
      <c r="B124" s="13" t="s">
        <v>98</v>
      </c>
      <c r="C124" s="13">
        <v>135</v>
      </c>
      <c r="D124" s="13">
        <v>117</v>
      </c>
      <c r="E124" s="13">
        <v>64</v>
      </c>
      <c r="F124" s="13">
        <v>105</v>
      </c>
    </row>
    <row r="127" spans="1:7" x14ac:dyDescent="0.3">
      <c r="B127" s="4" t="s">
        <v>19</v>
      </c>
    </row>
    <row r="128" spans="1:7" x14ac:dyDescent="0.3">
      <c r="A128">
        <v>14</v>
      </c>
      <c r="B128" s="60" t="s">
        <v>99</v>
      </c>
      <c r="C128" s="63">
        <v>2019</v>
      </c>
      <c r="D128" s="63">
        <v>2020</v>
      </c>
      <c r="E128" s="63">
        <v>2021</v>
      </c>
    </row>
    <row r="129" spans="1:5" x14ac:dyDescent="0.3">
      <c r="B129" s="12"/>
      <c r="C129" s="12"/>
      <c r="D129" s="12"/>
      <c r="E129" s="12"/>
    </row>
    <row r="130" spans="1:5" x14ac:dyDescent="0.3">
      <c r="B130" s="9" t="s">
        <v>21</v>
      </c>
      <c r="C130" s="18">
        <v>0.23</v>
      </c>
      <c r="D130" s="18">
        <v>0.25</v>
      </c>
      <c r="E130" s="18">
        <v>0.38</v>
      </c>
    </row>
    <row r="131" spans="1:5" x14ac:dyDescent="0.3">
      <c r="B131" s="9" t="s">
        <v>100</v>
      </c>
      <c r="C131" s="18">
        <v>0.22</v>
      </c>
      <c r="D131" s="18">
        <v>0.28999999999999998</v>
      </c>
      <c r="E131" s="18">
        <v>0.28999999999999998</v>
      </c>
    </row>
    <row r="132" spans="1:5" x14ac:dyDescent="0.3">
      <c r="B132" s="9" t="s">
        <v>101</v>
      </c>
      <c r="C132" s="18">
        <v>0.16</v>
      </c>
      <c r="D132" s="18">
        <v>0.21</v>
      </c>
      <c r="E132" s="18">
        <v>0.21</v>
      </c>
    </row>
    <row r="133" spans="1:5" x14ac:dyDescent="0.3">
      <c r="B133" s="9" t="s">
        <v>102</v>
      </c>
      <c r="C133" s="18">
        <v>0.17</v>
      </c>
      <c r="D133" s="18">
        <v>0.22</v>
      </c>
      <c r="E133" s="18">
        <v>0.22</v>
      </c>
    </row>
    <row r="136" spans="1:5" x14ac:dyDescent="0.3">
      <c r="B136" s="4" t="s">
        <v>7</v>
      </c>
    </row>
    <row r="137" spans="1:5" ht="15.6" x14ac:dyDescent="0.3">
      <c r="A137">
        <v>15</v>
      </c>
      <c r="B137" s="55" t="s">
        <v>103</v>
      </c>
      <c r="C137" s="55"/>
    </row>
    <row r="138" spans="1:5" x14ac:dyDescent="0.3">
      <c r="B138" s="60" t="s">
        <v>104</v>
      </c>
      <c r="C138" s="65" t="s">
        <v>105</v>
      </c>
    </row>
    <row r="139" spans="1:5" x14ac:dyDescent="0.3">
      <c r="B139" s="12"/>
      <c r="C139" s="12"/>
    </row>
    <row r="140" spans="1:5" x14ac:dyDescent="0.3">
      <c r="B140" s="9" t="s">
        <v>106</v>
      </c>
      <c r="C140" s="9">
        <v>186991</v>
      </c>
    </row>
    <row r="141" spans="1:5" x14ac:dyDescent="0.3">
      <c r="B141" s="9" t="s">
        <v>107</v>
      </c>
      <c r="C141" s="9">
        <v>251077</v>
      </c>
    </row>
    <row r="142" spans="1:5" x14ac:dyDescent="0.3">
      <c r="B142" s="9" t="s">
        <v>108</v>
      </c>
      <c r="C142" s="9">
        <v>118584</v>
      </c>
    </row>
    <row r="143" spans="1:5" x14ac:dyDescent="0.3">
      <c r="B143" s="9" t="s">
        <v>90</v>
      </c>
      <c r="C143" s="9">
        <v>143374</v>
      </c>
    </row>
    <row r="144" spans="1:5" x14ac:dyDescent="0.3">
      <c r="B144" s="9" t="s">
        <v>109</v>
      </c>
      <c r="C144" s="9">
        <v>34350.559999999998</v>
      </c>
    </row>
    <row r="145" spans="1:5" x14ac:dyDescent="0.3">
      <c r="B145" s="9" t="s">
        <v>110</v>
      </c>
      <c r="C145" s="9">
        <v>83845</v>
      </c>
    </row>
    <row r="146" spans="1:5" x14ac:dyDescent="0.3">
      <c r="B146" s="9" t="s">
        <v>111</v>
      </c>
      <c r="C146" s="9">
        <v>32808</v>
      </c>
    </row>
    <row r="147" spans="1:5" x14ac:dyDescent="0.3">
      <c r="B147" s="9" t="s">
        <v>112</v>
      </c>
      <c r="C147" s="9">
        <v>16250</v>
      </c>
    </row>
    <row r="148" spans="1:5" x14ac:dyDescent="0.3">
      <c r="B148" s="9" t="s">
        <v>113</v>
      </c>
      <c r="C148" s="9">
        <v>8277.43</v>
      </c>
    </row>
    <row r="149" spans="1:5" x14ac:dyDescent="0.3">
      <c r="B149" s="9" t="s">
        <v>114</v>
      </c>
      <c r="C149" s="9">
        <v>217015</v>
      </c>
    </row>
    <row r="150" spans="1:5" x14ac:dyDescent="0.3">
      <c r="B150" s="60" t="s">
        <v>44</v>
      </c>
      <c r="C150" s="60">
        <v>1092571.9900000002</v>
      </c>
    </row>
    <row r="153" spans="1:5" ht="15.6" x14ac:dyDescent="0.3">
      <c r="A153">
        <v>16</v>
      </c>
      <c r="B153" s="55" t="s">
        <v>115</v>
      </c>
      <c r="C153" s="55"/>
      <c r="D153" s="55"/>
      <c r="E153" s="55"/>
    </row>
    <row r="154" spans="1:5" x14ac:dyDescent="0.3">
      <c r="B154" s="60" t="s">
        <v>116</v>
      </c>
      <c r="C154" s="60" t="s">
        <v>117</v>
      </c>
      <c r="D154" s="60" t="s">
        <v>118</v>
      </c>
      <c r="E154" s="60" t="s">
        <v>105</v>
      </c>
    </row>
    <row r="155" spans="1:5" x14ac:dyDescent="0.3">
      <c r="B155" s="12"/>
      <c r="C155" s="12"/>
      <c r="D155" s="12"/>
      <c r="E155" s="12"/>
    </row>
    <row r="156" spans="1:5" x14ac:dyDescent="0.3">
      <c r="B156" s="9" t="s">
        <v>119</v>
      </c>
      <c r="C156" s="9">
        <v>320822</v>
      </c>
      <c r="D156" s="9" t="s">
        <v>120</v>
      </c>
      <c r="E156" s="9">
        <v>346867</v>
      </c>
    </row>
    <row r="157" spans="1:5" x14ac:dyDescent="0.3">
      <c r="B157" s="9" t="s">
        <v>121</v>
      </c>
      <c r="C157" s="9">
        <v>312849</v>
      </c>
      <c r="D157" s="9" t="s">
        <v>121</v>
      </c>
      <c r="E157" s="9">
        <v>312849</v>
      </c>
    </row>
    <row r="158" spans="1:5" x14ac:dyDescent="0.3">
      <c r="B158" s="9" t="s">
        <v>122</v>
      </c>
      <c r="C158" s="9">
        <v>154014</v>
      </c>
      <c r="D158" s="9" t="s">
        <v>123</v>
      </c>
      <c r="E158" s="9">
        <v>201293</v>
      </c>
    </row>
    <row r="159" spans="1:5" x14ac:dyDescent="0.3">
      <c r="B159" s="9" t="s">
        <v>124</v>
      </c>
      <c r="C159" s="9">
        <v>153510</v>
      </c>
      <c r="D159" s="9" t="s">
        <v>125</v>
      </c>
      <c r="E159" s="9">
        <v>153510</v>
      </c>
    </row>
    <row r="160" spans="1:5" x14ac:dyDescent="0.3">
      <c r="B160" s="9" t="s">
        <v>126</v>
      </c>
      <c r="C160" s="9">
        <v>72053</v>
      </c>
      <c r="D160" s="9" t="s">
        <v>127</v>
      </c>
      <c r="E160" s="9">
        <v>78053</v>
      </c>
    </row>
    <row r="161" spans="1:6" x14ac:dyDescent="0.3">
      <c r="B161" s="9" t="s">
        <v>128</v>
      </c>
      <c r="C161" s="9">
        <v>44579</v>
      </c>
      <c r="D161" s="9"/>
      <c r="E161" s="9"/>
    </row>
    <row r="162" spans="1:6" x14ac:dyDescent="0.3">
      <c r="B162" s="9" t="s">
        <v>129</v>
      </c>
      <c r="C162" s="9">
        <v>26045</v>
      </c>
      <c r="D162" s="9"/>
      <c r="E162" s="9"/>
    </row>
    <row r="163" spans="1:6" x14ac:dyDescent="0.3">
      <c r="B163" s="9" t="s">
        <v>130</v>
      </c>
      <c r="C163" s="9">
        <v>6000</v>
      </c>
      <c r="D163" s="9"/>
      <c r="E163" s="9"/>
    </row>
    <row r="164" spans="1:6" x14ac:dyDescent="0.3">
      <c r="B164" s="9" t="s">
        <v>131</v>
      </c>
      <c r="C164" s="9">
        <v>2700</v>
      </c>
      <c r="D164" s="9"/>
      <c r="E164" s="9"/>
    </row>
    <row r="165" spans="1:6" x14ac:dyDescent="0.3">
      <c r="B165" s="60" t="s">
        <v>44</v>
      </c>
      <c r="C165" s="60">
        <v>1092572</v>
      </c>
      <c r="D165" s="60"/>
      <c r="E165" s="60">
        <v>1092572</v>
      </c>
    </row>
    <row r="169" spans="1:6" x14ac:dyDescent="0.3">
      <c r="A169">
        <v>17</v>
      </c>
      <c r="B169" s="4" t="s">
        <v>132</v>
      </c>
    </row>
    <row r="170" spans="1:6" x14ac:dyDescent="0.3">
      <c r="B170" s="63"/>
      <c r="C170" s="63">
        <v>2018</v>
      </c>
      <c r="D170" s="63">
        <v>2019</v>
      </c>
      <c r="E170" s="63">
        <v>2020</v>
      </c>
      <c r="F170" s="63">
        <v>2021</v>
      </c>
    </row>
    <row r="171" spans="1:6" x14ac:dyDescent="0.3">
      <c r="B171" s="12"/>
      <c r="C171" s="12"/>
      <c r="D171" s="12"/>
      <c r="E171" s="12"/>
      <c r="F171" s="12"/>
    </row>
    <row r="172" spans="1:6" ht="28.8" x14ac:dyDescent="0.3">
      <c r="B172" s="47" t="s">
        <v>133</v>
      </c>
      <c r="C172" s="50">
        <v>2</v>
      </c>
      <c r="D172" s="50">
        <v>2</v>
      </c>
      <c r="E172" s="50">
        <v>2</v>
      </c>
      <c r="F172" s="51">
        <v>3</v>
      </c>
    </row>
    <row r="173" spans="1:6" x14ac:dyDescent="0.3">
      <c r="B173" s="46"/>
      <c r="F173" s="46"/>
    </row>
    <row r="174" spans="1:6" ht="28.8" x14ac:dyDescent="0.3">
      <c r="B174" s="47" t="s">
        <v>134</v>
      </c>
      <c r="C174" s="48">
        <v>0.72</v>
      </c>
      <c r="D174" s="49">
        <v>0.71</v>
      </c>
      <c r="E174" s="49">
        <v>0.66</v>
      </c>
      <c r="F174" s="49">
        <v>0.82</v>
      </c>
    </row>
  </sheetData>
  <pageMargins left="0.7" right="0.7" top="0.75" bottom="0.75" header="0.3" footer="0.3"/>
  <pageSetup paperSize="9" orientation="portrait" r:id="rId1"/>
  <pictur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D85B0-EB41-411B-917B-99FA49E3A564}">
  <dimension ref="A1:I38"/>
  <sheetViews>
    <sheetView showGridLines="0" workbookViewId="0">
      <selection activeCell="B4" sqref="B4:I4"/>
    </sheetView>
  </sheetViews>
  <sheetFormatPr baseColWidth="10" defaultColWidth="11.5546875" defaultRowHeight="14.4" x14ac:dyDescent="0.3"/>
  <cols>
    <col min="1" max="1" width="3.77734375" customWidth="1"/>
    <col min="2" max="2" width="28.6640625" customWidth="1"/>
  </cols>
  <sheetData>
    <row r="1" spans="1:9" x14ac:dyDescent="0.3">
      <c r="A1" s="119" t="s">
        <v>883</v>
      </c>
    </row>
    <row r="4" spans="1:9" ht="25.2" x14ac:dyDescent="0.3">
      <c r="B4" s="741" t="s">
        <v>342</v>
      </c>
      <c r="C4" s="741"/>
      <c r="D4" s="741"/>
      <c r="E4" s="741"/>
      <c r="F4" s="741"/>
      <c r="G4" s="741"/>
      <c r="H4" s="741"/>
      <c r="I4" s="741"/>
    </row>
    <row r="6" spans="1:9" x14ac:dyDescent="0.3">
      <c r="B6" s="136" t="s">
        <v>293</v>
      </c>
      <c r="C6" s="138"/>
      <c r="D6" s="138"/>
      <c r="E6" s="138"/>
      <c r="F6" s="138"/>
      <c r="G6" s="138"/>
      <c r="H6" s="138"/>
      <c r="I6" s="138"/>
    </row>
    <row r="8" spans="1:9" x14ac:dyDescent="0.3">
      <c r="B8" s="769" t="s">
        <v>294</v>
      </c>
      <c r="C8" s="769"/>
      <c r="D8" s="769"/>
      <c r="E8" s="769"/>
      <c r="F8" s="769"/>
      <c r="G8" s="769"/>
      <c r="H8" s="769"/>
      <c r="I8" s="769"/>
    </row>
    <row r="9" spans="1:9" x14ac:dyDescent="0.3">
      <c r="B9" s="769"/>
      <c r="C9" s="769"/>
      <c r="D9" s="769"/>
      <c r="E9" s="769"/>
      <c r="F9" s="769"/>
      <c r="G9" s="769"/>
      <c r="H9" s="769"/>
      <c r="I9" s="769"/>
    </row>
    <row r="10" spans="1:9" x14ac:dyDescent="0.3">
      <c r="B10" s="769"/>
      <c r="C10" s="769"/>
      <c r="D10" s="769"/>
      <c r="E10" s="769"/>
      <c r="F10" s="769"/>
      <c r="G10" s="769"/>
      <c r="H10" s="769"/>
      <c r="I10" s="769"/>
    </row>
    <row r="12" spans="1:9" x14ac:dyDescent="0.3">
      <c r="B12" s="136" t="s">
        <v>260</v>
      </c>
      <c r="C12" s="136"/>
      <c r="D12" s="136"/>
      <c r="E12" s="136"/>
      <c r="F12" s="136"/>
      <c r="G12" s="136"/>
      <c r="H12" s="136"/>
      <c r="I12" s="136"/>
    </row>
    <row r="14" spans="1:9" ht="14.4" customHeight="1" x14ac:dyDescent="0.3">
      <c r="B14" s="771" t="s">
        <v>575</v>
      </c>
      <c r="C14" s="771"/>
      <c r="D14" s="771"/>
      <c r="E14" s="771"/>
      <c r="F14" s="771"/>
      <c r="G14" s="771"/>
      <c r="H14" s="771"/>
      <c r="I14" s="771"/>
    </row>
    <row r="15" spans="1:9" x14ac:dyDescent="0.3">
      <c r="B15" s="771"/>
      <c r="C15" s="771"/>
      <c r="D15" s="771"/>
      <c r="E15" s="771"/>
      <c r="F15" s="771"/>
      <c r="G15" s="771"/>
      <c r="H15" s="771"/>
      <c r="I15" s="771"/>
    </row>
    <row r="16" spans="1:9" ht="261.45" customHeight="1" x14ac:dyDescent="0.3">
      <c r="B16" s="771"/>
      <c r="C16" s="771"/>
      <c r="D16" s="771"/>
      <c r="E16" s="771"/>
      <c r="F16" s="771"/>
      <c r="G16" s="771"/>
      <c r="H16" s="771"/>
      <c r="I16" s="771"/>
    </row>
    <row r="17" spans="2:9" ht="13.8" customHeight="1" x14ac:dyDescent="0.3">
      <c r="B17" s="771"/>
      <c r="C17" s="771"/>
      <c r="D17" s="771"/>
      <c r="E17" s="771"/>
      <c r="F17" s="771"/>
      <c r="G17" s="771"/>
      <c r="H17" s="771"/>
      <c r="I17" s="771"/>
    </row>
    <row r="18" spans="2:9" x14ac:dyDescent="0.3">
      <c r="B18" s="771"/>
      <c r="C18" s="771"/>
      <c r="D18" s="771"/>
      <c r="E18" s="771"/>
      <c r="F18" s="771"/>
      <c r="G18" s="771"/>
      <c r="H18" s="771"/>
      <c r="I18" s="771"/>
    </row>
    <row r="20" spans="2:9" x14ac:dyDescent="0.3">
      <c r="B20" s="136" t="s">
        <v>262</v>
      </c>
      <c r="C20" s="136"/>
      <c r="D20" s="136"/>
      <c r="E20" s="136"/>
      <c r="F20" s="136"/>
      <c r="G20" s="136"/>
      <c r="H20" s="136"/>
      <c r="I20" s="136"/>
    </row>
    <row r="22" spans="2:9" ht="132.44999999999999" customHeight="1" x14ac:dyDescent="0.3">
      <c r="B22" s="769" t="s">
        <v>576</v>
      </c>
      <c r="C22" s="769"/>
      <c r="D22" s="769"/>
      <c r="E22" s="769"/>
      <c r="F22" s="769"/>
      <c r="G22" s="769"/>
      <c r="H22" s="769"/>
      <c r="I22" s="769"/>
    </row>
    <row r="24" spans="2:9" x14ac:dyDescent="0.3">
      <c r="B24" s="136" t="s">
        <v>295</v>
      </c>
      <c r="C24" s="136"/>
      <c r="D24" s="136"/>
      <c r="E24" s="136"/>
      <c r="F24" s="136"/>
      <c r="G24" s="136"/>
      <c r="H24" s="136"/>
      <c r="I24" s="136"/>
    </row>
    <row r="26" spans="2:9" x14ac:dyDescent="0.3">
      <c r="B26" s="769" t="s">
        <v>577</v>
      </c>
      <c r="C26" s="769"/>
      <c r="D26" s="769"/>
      <c r="E26" s="769"/>
      <c r="F26" s="769"/>
      <c r="G26" s="769"/>
      <c r="H26" s="769"/>
      <c r="I26" s="769"/>
    </row>
    <row r="27" spans="2:9" ht="144" customHeight="1" x14ac:dyDescent="0.3">
      <c r="B27" s="769"/>
      <c r="C27" s="769"/>
      <c r="D27" s="769"/>
      <c r="E27" s="769"/>
      <c r="F27" s="769"/>
      <c r="G27" s="769"/>
      <c r="H27" s="769"/>
      <c r="I27" s="769"/>
    </row>
    <row r="29" spans="2:9" x14ac:dyDescent="0.3">
      <c r="B29" s="136" t="s">
        <v>578</v>
      </c>
      <c r="C29" s="136"/>
      <c r="D29" s="136"/>
      <c r="E29" s="136"/>
      <c r="F29" s="136"/>
      <c r="G29" s="136"/>
      <c r="H29" s="136"/>
      <c r="I29" s="136"/>
    </row>
    <row r="31" spans="2:9" ht="409.6" customHeight="1" x14ac:dyDescent="0.3">
      <c r="B31" s="769" t="s">
        <v>579</v>
      </c>
      <c r="C31" s="769"/>
      <c r="D31" s="769"/>
      <c r="E31" s="769"/>
      <c r="F31" s="769"/>
      <c r="G31" s="769"/>
      <c r="H31" s="769"/>
      <c r="I31" s="769"/>
    </row>
    <row r="35" spans="2:9" x14ac:dyDescent="0.3">
      <c r="B35" s="136" t="s">
        <v>296</v>
      </c>
      <c r="C35" s="136"/>
      <c r="D35" s="136"/>
      <c r="E35" s="136"/>
      <c r="F35" s="136"/>
      <c r="G35" s="136"/>
      <c r="H35" s="136"/>
      <c r="I35" s="136"/>
    </row>
    <row r="36" spans="2:9" x14ac:dyDescent="0.3">
      <c r="B36" s="139" t="s">
        <v>297</v>
      </c>
      <c r="C36" s="140"/>
    </row>
    <row r="38" spans="2:9" ht="176.55" customHeight="1" x14ac:dyDescent="0.3">
      <c r="B38" s="770" t="s">
        <v>580</v>
      </c>
      <c r="C38" s="770"/>
      <c r="D38" s="770"/>
      <c r="E38" s="770"/>
      <c r="F38" s="770"/>
      <c r="G38" s="770"/>
      <c r="H38" s="770"/>
      <c r="I38" s="770"/>
    </row>
  </sheetData>
  <mergeCells count="7">
    <mergeCell ref="B31:I31"/>
    <mergeCell ref="B38:I38"/>
    <mergeCell ref="B4:I4"/>
    <mergeCell ref="B8:I10"/>
    <mergeCell ref="B22:I22"/>
    <mergeCell ref="B26:I27"/>
    <mergeCell ref="B14:I18"/>
  </mergeCells>
  <hyperlinks>
    <hyperlink ref="A1" location="'Table of Contents'!A1" display="Back to Table of Contents" xr:uid="{DD47CFC6-D898-4049-978E-8D8E3093308B}"/>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CE756-10DB-4E54-B237-93E63B1AF112}">
  <dimension ref="A1:J59"/>
  <sheetViews>
    <sheetView showGridLines="0" topLeftCell="A3" workbookViewId="0">
      <selection activeCell="B3" sqref="B3:E3"/>
    </sheetView>
  </sheetViews>
  <sheetFormatPr baseColWidth="10" defaultRowHeight="14.4" x14ac:dyDescent="0.3"/>
  <cols>
    <col min="1" max="1" width="4.77734375" customWidth="1"/>
    <col min="2" max="2" width="68.5546875" customWidth="1"/>
    <col min="3" max="3" width="18.33203125" style="5" bestFit="1" customWidth="1"/>
    <col min="4" max="4" width="17.88671875" style="5" bestFit="1" customWidth="1"/>
    <col min="5" max="5" width="15.44140625" style="5" customWidth="1"/>
    <col min="6" max="6" width="16.33203125" customWidth="1"/>
    <col min="7" max="8" width="15.33203125" customWidth="1"/>
    <col min="9" max="9" width="15.77734375" customWidth="1"/>
  </cols>
  <sheetData>
    <row r="1" spans="1:7" x14ac:dyDescent="0.3">
      <c r="A1" s="119" t="s">
        <v>883</v>
      </c>
    </row>
    <row r="3" spans="1:7" ht="25.8" x14ac:dyDescent="0.3">
      <c r="B3" s="741" t="s">
        <v>341</v>
      </c>
      <c r="C3" s="741"/>
      <c r="D3" s="741"/>
      <c r="E3" s="741"/>
      <c r="F3" s="723"/>
    </row>
    <row r="4" spans="1:7" ht="25.8" x14ac:dyDescent="0.3">
      <c r="B4" s="149"/>
      <c r="C4" s="316"/>
      <c r="D4" s="316"/>
      <c r="E4" s="316"/>
      <c r="F4" s="149"/>
    </row>
    <row r="5" spans="1:7" x14ac:dyDescent="0.3">
      <c r="B5" s="305" t="s">
        <v>608</v>
      </c>
      <c r="C5" s="306"/>
      <c r="D5" s="306"/>
      <c r="E5" s="306"/>
    </row>
    <row r="6" spans="1:7" x14ac:dyDescent="0.3">
      <c r="B6" s="307" t="s">
        <v>609</v>
      </c>
      <c r="C6" s="142"/>
      <c r="D6" s="142"/>
      <c r="E6" s="142"/>
    </row>
    <row r="7" spans="1:7" x14ac:dyDescent="0.3">
      <c r="B7" s="299" t="s">
        <v>608</v>
      </c>
      <c r="C7" s="300">
        <v>2025</v>
      </c>
      <c r="D7" s="300">
        <v>2024</v>
      </c>
      <c r="E7" s="300" t="s">
        <v>556</v>
      </c>
    </row>
    <row r="8" spans="1:7" x14ac:dyDescent="0.3">
      <c r="B8" s="301" t="s">
        <v>691</v>
      </c>
      <c r="C8" s="302">
        <v>891000</v>
      </c>
      <c r="D8" s="302">
        <v>837000</v>
      </c>
      <c r="E8" s="317">
        <f>C8/D8-1</f>
        <v>6.4516129032258007E-2</v>
      </c>
      <c r="F8" s="128"/>
      <c r="G8" s="128"/>
    </row>
    <row r="9" spans="1:7" x14ac:dyDescent="0.3">
      <c r="B9" s="271" t="s">
        <v>692</v>
      </c>
      <c r="C9" s="302">
        <v>1447000</v>
      </c>
      <c r="D9" s="302">
        <v>1511000</v>
      </c>
      <c r="E9" s="317">
        <f>C9/D9-1</f>
        <v>-4.2356055592322917E-2</v>
      </c>
      <c r="F9" s="128"/>
      <c r="G9" s="128"/>
    </row>
    <row r="10" spans="1:7" x14ac:dyDescent="0.3">
      <c r="B10" s="271" t="s">
        <v>693</v>
      </c>
      <c r="C10" s="302">
        <v>2018000</v>
      </c>
      <c r="D10" s="302">
        <v>2024000</v>
      </c>
      <c r="E10" s="317">
        <f>C10/D10-1</f>
        <v>-2.9644268774703386E-3</v>
      </c>
      <c r="F10" s="128"/>
      <c r="G10" s="128"/>
    </row>
    <row r="11" spans="1:7" x14ac:dyDescent="0.3">
      <c r="B11" s="271" t="s">
        <v>694</v>
      </c>
      <c r="C11" s="402">
        <v>0</v>
      </c>
      <c r="D11" s="402">
        <v>0</v>
      </c>
      <c r="E11" s="302" t="s">
        <v>93</v>
      </c>
      <c r="F11" s="128"/>
      <c r="G11" s="128"/>
    </row>
    <row r="12" spans="1:7" ht="28.2" thickBot="1" x14ac:dyDescent="0.35">
      <c r="B12" s="274" t="s">
        <v>695</v>
      </c>
      <c r="C12" s="318">
        <v>115000</v>
      </c>
      <c r="D12" s="318">
        <v>121000</v>
      </c>
      <c r="E12" s="317">
        <f>C12/D12-1</f>
        <v>-4.9586776859504078E-2</v>
      </c>
      <c r="F12" s="128"/>
      <c r="G12" s="128"/>
    </row>
    <row r="13" spans="1:7" ht="27.6" x14ac:dyDescent="0.3">
      <c r="B13" s="303" t="s">
        <v>696</v>
      </c>
      <c r="C13" s="319">
        <f>SUM(C8:C12)</f>
        <v>4471000</v>
      </c>
      <c r="D13" s="319">
        <f>SUM(D8:D12)</f>
        <v>4493000</v>
      </c>
      <c r="E13" s="320">
        <f>C13/D13-1</f>
        <v>-4.8965056754952663E-3</v>
      </c>
      <c r="F13" s="128"/>
      <c r="G13" s="128"/>
    </row>
    <row r="14" spans="1:7" ht="15" thickBot="1" x14ac:dyDescent="0.35">
      <c r="B14" s="271" t="s">
        <v>607</v>
      </c>
      <c r="C14" s="321">
        <f>C13/C22</f>
        <v>0.90068493150684936</v>
      </c>
      <c r="D14" s="283">
        <f>D13/D22</f>
        <v>0.9000400641025641</v>
      </c>
      <c r="E14" s="322"/>
      <c r="F14" s="128"/>
      <c r="G14" s="128"/>
    </row>
    <row r="15" spans="1:7" x14ac:dyDescent="0.3">
      <c r="B15" s="303" t="s">
        <v>697</v>
      </c>
      <c r="C15" s="319">
        <v>30000</v>
      </c>
      <c r="D15" s="319">
        <v>29000</v>
      </c>
      <c r="E15" s="317">
        <f>C15/D15-1</f>
        <v>3.4482758620689724E-2</v>
      </c>
      <c r="F15" s="128"/>
      <c r="G15" s="128"/>
    </row>
    <row r="16" spans="1:7" ht="27.6" x14ac:dyDescent="0.3">
      <c r="B16" s="271" t="s">
        <v>698</v>
      </c>
      <c r="C16" s="323">
        <f>C15/C22</f>
        <v>6.0435132957292505E-3</v>
      </c>
      <c r="D16" s="323">
        <f>D15/D22</f>
        <v>5.809294871794872E-3</v>
      </c>
      <c r="E16" s="317"/>
      <c r="F16" s="128"/>
      <c r="G16" s="128"/>
    </row>
    <row r="17" spans="2:7" ht="41.4" x14ac:dyDescent="0.3">
      <c r="B17" s="271" t="s">
        <v>699</v>
      </c>
      <c r="C17" s="402">
        <v>21000</v>
      </c>
      <c r="D17" s="402">
        <v>28000</v>
      </c>
      <c r="E17" s="317">
        <f>C17/D17-1</f>
        <v>-0.25</v>
      </c>
      <c r="F17" s="128"/>
      <c r="G17" s="128"/>
    </row>
    <row r="18" spans="2:7" ht="27.6" x14ac:dyDescent="0.3">
      <c r="B18" s="271" t="s">
        <v>700</v>
      </c>
      <c r="C18" s="402">
        <v>438000</v>
      </c>
      <c r="D18" s="402">
        <v>441000</v>
      </c>
      <c r="E18" s="317">
        <f>C18/D18-1</f>
        <v>-6.8027210884353817E-3</v>
      </c>
      <c r="F18" s="128"/>
      <c r="G18" s="128"/>
    </row>
    <row r="19" spans="2:7" ht="28.2" thickBot="1" x14ac:dyDescent="0.35">
      <c r="B19" s="274" t="s">
        <v>701</v>
      </c>
      <c r="C19" s="302">
        <v>4000</v>
      </c>
      <c r="D19" s="302">
        <v>1000</v>
      </c>
      <c r="E19" s="322"/>
      <c r="F19" s="128"/>
      <c r="G19" s="128"/>
    </row>
    <row r="20" spans="2:7" ht="27.6" x14ac:dyDescent="0.3">
      <c r="B20" s="303" t="s">
        <v>702</v>
      </c>
      <c r="C20" s="324">
        <f>SUM(C17:C19)</f>
        <v>463000</v>
      </c>
      <c r="D20" s="324">
        <f>SUM(D17:D19)</f>
        <v>470000</v>
      </c>
      <c r="E20" s="317">
        <f>C20/D20-1</f>
        <v>-1.4893617021276562E-2</v>
      </c>
    </row>
    <row r="21" spans="2:7" ht="15" thickBot="1" x14ac:dyDescent="0.35">
      <c r="B21" s="274" t="s">
        <v>703</v>
      </c>
      <c r="C21" s="283">
        <f>C20/C22</f>
        <v>9.3271555197421432E-2</v>
      </c>
      <c r="D21" s="283">
        <f>D20/D22</f>
        <v>9.4150641025641024E-2</v>
      </c>
      <c r="E21" s="283"/>
    </row>
    <row r="22" spans="2:7" ht="28.2" thickBot="1" x14ac:dyDescent="0.35">
      <c r="B22" s="304" t="s">
        <v>704</v>
      </c>
      <c r="C22" s="325">
        <f>SUM(C13,C15,C20)</f>
        <v>4964000</v>
      </c>
      <c r="D22" s="325">
        <f>SUM(D13,D15,D20)</f>
        <v>4992000</v>
      </c>
      <c r="E22" s="326">
        <f>C22/D22-1</f>
        <v>-5.608974358974339E-3</v>
      </c>
    </row>
    <row r="23" spans="2:7" ht="15" thickTop="1" x14ac:dyDescent="0.3">
      <c r="B23" s="291"/>
      <c r="C23" s="295"/>
      <c r="D23" s="295"/>
      <c r="E23" s="295"/>
    </row>
    <row r="24" spans="2:7" x14ac:dyDescent="0.3">
      <c r="B24" s="291"/>
      <c r="C24" s="295"/>
      <c r="D24" s="295"/>
      <c r="E24" s="295"/>
    </row>
    <row r="25" spans="2:7" x14ac:dyDescent="0.3">
      <c r="B25" s="305" t="s">
        <v>298</v>
      </c>
      <c r="C25" s="306"/>
      <c r="D25" s="306"/>
      <c r="E25" s="306"/>
    </row>
    <row r="26" spans="2:7" x14ac:dyDescent="0.3">
      <c r="B26" s="309" t="s">
        <v>299</v>
      </c>
      <c r="C26" s="308"/>
      <c r="D26" s="308"/>
      <c r="E26" s="308"/>
    </row>
    <row r="27" spans="2:7" x14ac:dyDescent="0.3">
      <c r="B27" s="310" t="s">
        <v>298</v>
      </c>
      <c r="C27" s="311">
        <v>2025</v>
      </c>
      <c r="D27" s="311">
        <v>2024</v>
      </c>
      <c r="E27" s="311" t="s">
        <v>556</v>
      </c>
    </row>
    <row r="28" spans="2:7" x14ac:dyDescent="0.3">
      <c r="B28" s="301" t="s">
        <v>610</v>
      </c>
      <c r="C28" s="312">
        <v>1000</v>
      </c>
      <c r="D28" s="312">
        <v>900</v>
      </c>
      <c r="E28" s="317">
        <f>C28/D28-1</f>
        <v>0.11111111111111116</v>
      </c>
    </row>
    <row r="29" spans="2:7" ht="15" thickBot="1" x14ac:dyDescent="0.35">
      <c r="B29" s="291" t="s">
        <v>611</v>
      </c>
      <c r="C29" s="285">
        <v>3600</v>
      </c>
      <c r="D29" s="285">
        <v>1300</v>
      </c>
      <c r="E29" s="322">
        <f t="shared" ref="E29:E30" si="0">C29/D29-1</f>
        <v>1.7692307692307692</v>
      </c>
    </row>
    <row r="30" spans="2:7" ht="15" thickBot="1" x14ac:dyDescent="0.35">
      <c r="B30" s="304" t="s">
        <v>612</v>
      </c>
      <c r="C30" s="325">
        <f>SUM(C28:C29)</f>
        <v>4600</v>
      </c>
      <c r="D30" s="325">
        <f>SUM(D28:D29)</f>
        <v>2200</v>
      </c>
      <c r="E30" s="327">
        <f t="shared" si="0"/>
        <v>1.0909090909090908</v>
      </c>
    </row>
    <row r="31" spans="2:7" ht="15" thickTop="1" x14ac:dyDescent="0.3">
      <c r="B31" s="291"/>
      <c r="C31" s="295"/>
      <c r="D31" s="295"/>
      <c r="E31" s="312"/>
    </row>
    <row r="32" spans="2:7" x14ac:dyDescent="0.3">
      <c r="B32" s="313" t="s">
        <v>300</v>
      </c>
      <c r="C32" s="328"/>
      <c r="D32" s="328"/>
      <c r="E32" s="328"/>
    </row>
    <row r="33" spans="2:5" x14ac:dyDescent="0.3">
      <c r="B33" s="309" t="s">
        <v>301</v>
      </c>
      <c r="C33" s="295"/>
      <c r="D33" s="295"/>
      <c r="E33" s="295"/>
    </row>
    <row r="34" spans="2:5" ht="27.6" x14ac:dyDescent="0.3">
      <c r="B34" s="310" t="s">
        <v>300</v>
      </c>
      <c r="C34" s="311">
        <v>2025</v>
      </c>
      <c r="D34" s="311">
        <v>2024</v>
      </c>
      <c r="E34" s="311" t="s">
        <v>556</v>
      </c>
    </row>
    <row r="35" spans="2:5" ht="15" thickBot="1" x14ac:dyDescent="0.35">
      <c r="B35" s="314" t="s">
        <v>302</v>
      </c>
      <c r="C35" s="329">
        <v>115000</v>
      </c>
      <c r="D35" s="330">
        <v>121000</v>
      </c>
      <c r="E35" s="331">
        <f>C35/D35-1</f>
        <v>-4.9586776859504078E-2</v>
      </c>
    </row>
    <row r="37" spans="2:5" x14ac:dyDescent="0.3">
      <c r="B37" s="313" t="s">
        <v>613</v>
      </c>
      <c r="C37" s="332"/>
      <c r="D37" s="332"/>
      <c r="E37" s="332"/>
    </row>
    <row r="38" spans="2:5" x14ac:dyDescent="0.3">
      <c r="C38" s="311">
        <v>2025</v>
      </c>
      <c r="D38" s="311">
        <v>2024</v>
      </c>
      <c r="E38" s="311" t="s">
        <v>556</v>
      </c>
    </row>
    <row r="39" spans="2:5" ht="27.6" x14ac:dyDescent="0.3">
      <c r="B39" s="268" t="s">
        <v>705</v>
      </c>
      <c r="C39" s="333">
        <v>4964000</v>
      </c>
      <c r="D39" s="333">
        <v>4992000</v>
      </c>
      <c r="E39" s="283">
        <f>C39/D39-1</f>
        <v>-5.608974358974339E-3</v>
      </c>
    </row>
    <row r="40" spans="2:5" ht="15" thickBot="1" x14ac:dyDescent="0.35">
      <c r="B40" s="274" t="s">
        <v>706</v>
      </c>
      <c r="C40" s="333">
        <f>ROUND(3365863858,-6)</f>
        <v>3366000000</v>
      </c>
      <c r="D40" s="333">
        <v>3487000000</v>
      </c>
      <c r="E40" s="283">
        <f>C40/D40-1</f>
        <v>-3.4700315457413256E-2</v>
      </c>
    </row>
    <row r="41" spans="2:5" ht="42" thickBot="1" x14ac:dyDescent="0.35">
      <c r="B41" s="276" t="s">
        <v>707</v>
      </c>
      <c r="C41" s="400">
        <f>C39/C40</f>
        <v>1.4747474747474748E-3</v>
      </c>
      <c r="D41" s="400">
        <f>D39/D40</f>
        <v>1.4316030972182391E-3</v>
      </c>
      <c r="E41" s="401">
        <f>C41/D41-1</f>
        <v>3.0137108262108248E-2</v>
      </c>
    </row>
    <row r="42" spans="2:5" ht="15" thickTop="1" x14ac:dyDescent="0.3"/>
    <row r="43" spans="2:5" x14ac:dyDescent="0.3">
      <c r="B43" s="313" t="s">
        <v>616</v>
      </c>
      <c r="C43" s="332"/>
      <c r="D43" s="332"/>
      <c r="E43" s="332"/>
    </row>
    <row r="44" spans="2:5" x14ac:dyDescent="0.3">
      <c r="B44" s="254" t="s">
        <v>616</v>
      </c>
      <c r="C44" s="290" t="s">
        <v>614</v>
      </c>
      <c r="D44" s="290" t="s">
        <v>615</v>
      </c>
      <c r="E44" s="315" t="s">
        <v>687</v>
      </c>
    </row>
    <row r="45" spans="2:5" ht="27.6" x14ac:dyDescent="0.3">
      <c r="B45" s="268" t="s">
        <v>708</v>
      </c>
      <c r="C45" s="334">
        <f>ROUND(3365863858,-6)</f>
        <v>3366000000</v>
      </c>
      <c r="D45" s="334">
        <v>3487000000</v>
      </c>
      <c r="E45" s="279">
        <f>C45/D45-1</f>
        <v>-3.4700315457413256E-2</v>
      </c>
    </row>
    <row r="46" spans="2:5" ht="15" thickBot="1" x14ac:dyDescent="0.35">
      <c r="B46" s="274" t="s">
        <v>689</v>
      </c>
      <c r="C46" s="275">
        <v>0</v>
      </c>
      <c r="D46" s="275">
        <v>0</v>
      </c>
      <c r="E46" s="279"/>
    </row>
    <row r="47" spans="2:5" ht="15" thickBot="1" x14ac:dyDescent="0.35">
      <c r="B47" s="276" t="s">
        <v>709</v>
      </c>
      <c r="C47" s="277">
        <f>SUM(C45:C46)</f>
        <v>3366000000</v>
      </c>
      <c r="D47" s="277">
        <f>SUM(D45:D46)</f>
        <v>3487000000</v>
      </c>
      <c r="E47" s="335">
        <f t="shared" ref="E47" si="1">C47/D47-1</f>
        <v>-3.4700315457413256E-2</v>
      </c>
    </row>
    <row r="48" spans="2:5" ht="15" thickTop="1" x14ac:dyDescent="0.3"/>
    <row r="49" spans="2:10" ht="15.6" x14ac:dyDescent="0.3">
      <c r="B49" s="403" t="s">
        <v>292</v>
      </c>
      <c r="C49" s="404"/>
      <c r="D49" s="404"/>
      <c r="E49" s="404"/>
      <c r="F49" s="404"/>
      <c r="G49" s="404"/>
      <c r="H49" s="404"/>
      <c r="I49" s="404"/>
      <c r="J49" s="404"/>
    </row>
    <row r="50" spans="2:10" x14ac:dyDescent="0.3">
      <c r="C50" s="80"/>
      <c r="D50"/>
      <c r="E50"/>
    </row>
    <row r="51" spans="2:10" ht="15.6" x14ac:dyDescent="0.3">
      <c r="B51" s="93" t="s">
        <v>136</v>
      </c>
      <c r="C51" s="94">
        <v>2018</v>
      </c>
      <c r="D51" s="94">
        <v>2019</v>
      </c>
      <c r="E51" s="94">
        <v>2020</v>
      </c>
      <c r="F51" s="94">
        <v>2021</v>
      </c>
      <c r="G51" s="94">
        <v>2022</v>
      </c>
      <c r="H51" s="94">
        <v>2023</v>
      </c>
      <c r="I51" s="94">
        <v>2024</v>
      </c>
      <c r="J51" s="94">
        <v>2025</v>
      </c>
    </row>
    <row r="52" spans="2:10" ht="15.6" x14ac:dyDescent="0.3">
      <c r="B52" s="114" t="s">
        <v>17</v>
      </c>
      <c r="C52" s="111">
        <v>6483.7905526706709</v>
      </c>
      <c r="D52" s="111">
        <v>5635.1161243605202</v>
      </c>
      <c r="E52" s="111">
        <v>5165.4282385577126</v>
      </c>
      <c r="F52" s="111">
        <v>5912.0001871266786</v>
      </c>
      <c r="G52" s="111">
        <v>5423.4124359700463</v>
      </c>
      <c r="H52" s="111">
        <v>5055.4588404847191</v>
      </c>
      <c r="I52" s="111">
        <v>4992</v>
      </c>
      <c r="J52" s="111">
        <v>4964</v>
      </c>
    </row>
    <row r="53" spans="2:10" ht="15.6" x14ac:dyDescent="0.3">
      <c r="B53" s="115" t="s">
        <v>30</v>
      </c>
      <c r="C53" s="112">
        <v>1.9382192825344551</v>
      </c>
      <c r="D53" s="112">
        <v>1.905578393761082</v>
      </c>
      <c r="E53" s="112">
        <v>1.9296258346003072</v>
      </c>
      <c r="F53" s="112">
        <v>1.8298470543420438</v>
      </c>
      <c r="G53" s="112">
        <v>1.8935539848672833</v>
      </c>
      <c r="H53" s="112">
        <v>1.7886786186253278</v>
      </c>
      <c r="I53" s="112">
        <v>1.78</v>
      </c>
      <c r="J53" s="112">
        <v>1.74</v>
      </c>
    </row>
    <row r="54" spans="2:10" x14ac:dyDescent="0.3">
      <c r="C54"/>
      <c r="D54"/>
      <c r="E54"/>
    </row>
    <row r="55" spans="2:10" x14ac:dyDescent="0.3">
      <c r="C55"/>
      <c r="D55"/>
      <c r="E55"/>
    </row>
    <row r="56" spans="2:10" x14ac:dyDescent="0.3">
      <c r="B56" s="83"/>
      <c r="C56" s="85"/>
      <c r="D56" s="85"/>
      <c r="E56" s="85"/>
      <c r="F56" s="85"/>
      <c r="G56" s="85"/>
      <c r="H56" s="85"/>
      <c r="I56" s="85"/>
      <c r="J56" s="85"/>
    </row>
    <row r="57" spans="2:10" ht="15.6" x14ac:dyDescent="0.3">
      <c r="B57" s="92" t="s">
        <v>137</v>
      </c>
      <c r="C57" s="94">
        <v>2018</v>
      </c>
      <c r="D57" s="94">
        <v>2019</v>
      </c>
      <c r="E57" s="94">
        <v>2020</v>
      </c>
      <c r="F57" s="94">
        <v>2021</v>
      </c>
      <c r="G57" s="94">
        <v>2022</v>
      </c>
      <c r="H57" s="94">
        <v>2023</v>
      </c>
      <c r="I57" s="94">
        <v>2024</v>
      </c>
      <c r="J57" s="94">
        <v>2025</v>
      </c>
    </row>
    <row r="58" spans="2:10" ht="15.6" x14ac:dyDescent="0.3">
      <c r="B58" s="107" t="s">
        <v>138</v>
      </c>
      <c r="C58" s="121" t="s">
        <v>253</v>
      </c>
      <c r="D58" s="121" t="s">
        <v>253</v>
      </c>
      <c r="E58" s="121" t="s">
        <v>253</v>
      </c>
      <c r="F58" s="121" t="s">
        <v>253</v>
      </c>
      <c r="G58" s="121">
        <v>0.08</v>
      </c>
      <c r="H58" s="121">
        <v>0.08</v>
      </c>
      <c r="I58" s="121">
        <v>9.2999999999999999E-2</v>
      </c>
      <c r="J58" s="121">
        <v>9.4E-2</v>
      </c>
    </row>
    <row r="59" spans="2:10" ht="15.6" x14ac:dyDescent="0.3">
      <c r="B59" s="107" t="s">
        <v>139</v>
      </c>
      <c r="C59" s="121" t="s">
        <v>253</v>
      </c>
      <c r="D59" s="121" t="s">
        <v>253</v>
      </c>
      <c r="E59" s="121" t="s">
        <v>253</v>
      </c>
      <c r="F59" s="121" t="s">
        <v>253</v>
      </c>
      <c r="G59" s="121">
        <v>0.92</v>
      </c>
      <c r="H59" s="121">
        <v>0.92</v>
      </c>
      <c r="I59" s="121">
        <f>100%-I58</f>
        <v>0.90700000000000003</v>
      </c>
      <c r="J59" s="121">
        <f>100%-J58</f>
        <v>0.90600000000000003</v>
      </c>
    </row>
  </sheetData>
  <mergeCells count="1">
    <mergeCell ref="B3:E3"/>
  </mergeCells>
  <hyperlinks>
    <hyperlink ref="A1" location="'Table of Contents'!A1" display="Back to Table of Contents" xr:uid="{7F618DC3-EFCC-494A-9DD5-A71D70A7DBD2}"/>
  </hyperlink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8DD4E-A175-4873-A1FC-87F1E198FEE3}">
  <dimension ref="A1:I30"/>
  <sheetViews>
    <sheetView showGridLines="0" workbookViewId="0">
      <selection activeCell="B3" sqref="B3:I3"/>
    </sheetView>
  </sheetViews>
  <sheetFormatPr baseColWidth="10" defaultColWidth="11.5546875" defaultRowHeight="13.8" x14ac:dyDescent="0.25"/>
  <cols>
    <col min="1" max="1" width="4.33203125" style="291" customWidth="1"/>
    <col min="2" max="2" width="49.5546875" style="291" customWidth="1"/>
    <col min="3" max="3" width="16.5546875" style="308" bestFit="1" customWidth="1"/>
    <col min="4" max="4" width="14.33203125" style="291" customWidth="1"/>
    <col min="5" max="5" width="12.44140625" style="291" bestFit="1" customWidth="1"/>
    <col min="6" max="6" width="17.6640625" style="291" customWidth="1"/>
    <col min="7" max="7" width="13.21875" style="291" customWidth="1"/>
    <col min="8" max="8" width="15.44140625" style="291" customWidth="1"/>
    <col min="9" max="9" width="16.21875" style="291" customWidth="1"/>
    <col min="10" max="10" width="11.5546875" style="291"/>
    <col min="11" max="11" width="18.44140625" style="291" customWidth="1"/>
    <col min="12" max="12" width="16.77734375" style="291" customWidth="1"/>
    <col min="13" max="16384" width="11.5546875" style="291"/>
  </cols>
  <sheetData>
    <row r="1" spans="1:9" ht="14.4" x14ac:dyDescent="0.3">
      <c r="A1" s="119" t="s">
        <v>883</v>
      </c>
    </row>
    <row r="3" spans="1:9" ht="25.2" x14ac:dyDescent="0.25">
      <c r="B3" s="741" t="s">
        <v>631</v>
      </c>
      <c r="C3" s="741"/>
      <c r="D3" s="741"/>
      <c r="E3" s="741"/>
      <c r="F3" s="741"/>
      <c r="G3" s="741"/>
      <c r="H3" s="741"/>
      <c r="I3" s="741"/>
    </row>
    <row r="6" spans="1:9" x14ac:dyDescent="0.25">
      <c r="B6" s="305" t="s">
        <v>307</v>
      </c>
      <c r="C6" s="306"/>
      <c r="D6" s="305"/>
      <c r="E6" s="305"/>
      <c r="F6" s="305"/>
      <c r="G6" s="305"/>
      <c r="H6" s="305"/>
      <c r="I6" s="305"/>
    </row>
    <row r="7" spans="1:9" x14ac:dyDescent="0.25">
      <c r="B7" s="405" t="s">
        <v>297</v>
      </c>
      <c r="C7" s="406"/>
    </row>
    <row r="8" spans="1:9" x14ac:dyDescent="0.25">
      <c r="B8" s="407" t="s">
        <v>632</v>
      </c>
    </row>
    <row r="9" spans="1:9" x14ac:dyDescent="0.25">
      <c r="B9" s="405" t="s">
        <v>308</v>
      </c>
      <c r="C9" s="772" t="s">
        <v>309</v>
      </c>
      <c r="D9" s="772"/>
      <c r="E9" s="772"/>
      <c r="F9" s="772"/>
      <c r="G9" s="772"/>
      <c r="H9" s="772"/>
      <c r="I9" s="772"/>
    </row>
    <row r="10" spans="1:9" x14ac:dyDescent="0.25">
      <c r="B10" s="405" t="s">
        <v>310</v>
      </c>
      <c r="C10" s="772" t="s">
        <v>311</v>
      </c>
      <c r="D10" s="772"/>
      <c r="E10" s="772"/>
      <c r="F10" s="772"/>
      <c r="G10" s="772"/>
      <c r="H10" s="772"/>
      <c r="I10" s="772"/>
    </row>
    <row r="11" spans="1:9" x14ac:dyDescent="0.25">
      <c r="B11" s="405" t="s">
        <v>312</v>
      </c>
      <c r="C11" s="772" t="s">
        <v>313</v>
      </c>
      <c r="D11" s="772"/>
      <c r="E11" s="772"/>
      <c r="F11" s="772"/>
      <c r="G11" s="772"/>
      <c r="H11" s="772"/>
      <c r="I11" s="772"/>
    </row>
    <row r="12" spans="1:9" x14ac:dyDescent="0.25">
      <c r="B12" s="405" t="s">
        <v>314</v>
      </c>
      <c r="C12" s="772" t="s">
        <v>315</v>
      </c>
      <c r="D12" s="772"/>
      <c r="E12" s="772"/>
      <c r="F12" s="772"/>
      <c r="G12" s="772"/>
      <c r="H12" s="772"/>
      <c r="I12" s="772"/>
    </row>
    <row r="15" spans="1:9" ht="83.55" customHeight="1" x14ac:dyDescent="0.25">
      <c r="B15" s="772" t="s">
        <v>316</v>
      </c>
      <c r="C15" s="772"/>
      <c r="D15" s="772"/>
      <c r="E15" s="772"/>
      <c r="F15" s="772"/>
      <c r="G15" s="772"/>
      <c r="H15" s="772"/>
      <c r="I15" s="772"/>
    </row>
    <row r="17" spans="2:9" x14ac:dyDescent="0.25">
      <c r="B17" s="305" t="s">
        <v>317</v>
      </c>
      <c r="C17" s="306"/>
      <c r="D17" s="305"/>
      <c r="E17" s="305"/>
      <c r="F17" s="305"/>
      <c r="G17" s="305"/>
      <c r="H17" s="305"/>
      <c r="I17" s="305"/>
    </row>
    <row r="18" spans="2:9" x14ac:dyDescent="0.25">
      <c r="B18" s="405" t="s">
        <v>297</v>
      </c>
      <c r="C18" s="406"/>
    </row>
    <row r="19" spans="2:9" x14ac:dyDescent="0.25">
      <c r="B19" s="407" t="s">
        <v>632</v>
      </c>
    </row>
    <row r="20" spans="2:9" x14ac:dyDescent="0.25">
      <c r="B20" s="405" t="s">
        <v>308</v>
      </c>
      <c r="C20" s="772" t="s">
        <v>309</v>
      </c>
      <c r="D20" s="772"/>
      <c r="E20" s="772"/>
      <c r="F20" s="772"/>
      <c r="G20" s="772"/>
      <c r="H20" s="772"/>
      <c r="I20" s="772"/>
    </row>
    <row r="21" spans="2:9" x14ac:dyDescent="0.25">
      <c r="B21" s="405" t="s">
        <v>310</v>
      </c>
      <c r="C21" s="772" t="s">
        <v>311</v>
      </c>
      <c r="D21" s="772"/>
      <c r="E21" s="772"/>
      <c r="F21" s="772"/>
      <c r="G21" s="772"/>
      <c r="H21" s="772"/>
      <c r="I21" s="772"/>
    </row>
    <row r="22" spans="2:9" x14ac:dyDescent="0.25">
      <c r="B22" s="405" t="s">
        <v>312</v>
      </c>
      <c r="C22" s="772" t="s">
        <v>313</v>
      </c>
      <c r="D22" s="772"/>
      <c r="E22" s="772"/>
      <c r="F22" s="772"/>
      <c r="G22" s="772"/>
      <c r="H22" s="772"/>
      <c r="I22" s="772"/>
    </row>
    <row r="23" spans="2:9" x14ac:dyDescent="0.25">
      <c r="B23" s="405" t="s">
        <v>314</v>
      </c>
      <c r="C23" s="772" t="s">
        <v>315</v>
      </c>
      <c r="D23" s="772"/>
      <c r="E23" s="772"/>
      <c r="F23" s="772"/>
      <c r="G23" s="772"/>
      <c r="H23" s="772"/>
      <c r="I23" s="772"/>
    </row>
    <row r="26" spans="2:9" ht="63" customHeight="1" x14ac:dyDescent="0.25">
      <c r="B26" s="772" t="s">
        <v>318</v>
      </c>
      <c r="C26" s="772"/>
      <c r="D26" s="772"/>
      <c r="E26" s="772"/>
      <c r="F26" s="772"/>
      <c r="G26" s="772"/>
      <c r="H26" s="772"/>
      <c r="I26" s="772"/>
    </row>
    <row r="27" spans="2:9" ht="14.4" customHeight="1" x14ac:dyDescent="0.25">
      <c r="B27" s="305" t="s">
        <v>629</v>
      </c>
      <c r="C27" s="305"/>
      <c r="D27" s="305"/>
      <c r="E27" s="305"/>
      <c r="F27" s="305"/>
      <c r="G27" s="305"/>
      <c r="H27" s="305"/>
      <c r="I27" s="305"/>
    </row>
    <row r="28" spans="2:9" ht="20.399999999999999" customHeight="1" x14ac:dyDescent="0.25">
      <c r="B28" s="408" t="s">
        <v>430</v>
      </c>
    </row>
    <row r="29" spans="2:9" ht="47.4" customHeight="1" x14ac:dyDescent="0.25">
      <c r="B29" s="773" t="s">
        <v>630</v>
      </c>
      <c r="C29" s="773"/>
      <c r="D29" s="773"/>
      <c r="E29" s="773"/>
      <c r="F29" s="773"/>
      <c r="G29" s="773"/>
      <c r="H29" s="773"/>
      <c r="I29" s="773"/>
    </row>
    <row r="30" spans="2:9" ht="20.399999999999999" customHeight="1" x14ac:dyDescent="0.25">
      <c r="B30" s="409" t="s">
        <v>628</v>
      </c>
    </row>
  </sheetData>
  <mergeCells count="12">
    <mergeCell ref="B29:I29"/>
    <mergeCell ref="C11:I11"/>
    <mergeCell ref="C12:I12"/>
    <mergeCell ref="B15:I15"/>
    <mergeCell ref="C20:I20"/>
    <mergeCell ref="B3:I3"/>
    <mergeCell ref="C23:I23"/>
    <mergeCell ref="B26:I26"/>
    <mergeCell ref="C21:I21"/>
    <mergeCell ref="C22:I22"/>
    <mergeCell ref="C9:I9"/>
    <mergeCell ref="C10:I10"/>
  </mergeCells>
  <hyperlinks>
    <hyperlink ref="A1" location="'Table of Contents'!A1" display="Back to Table of Contents" xr:uid="{0E141A04-7FC6-4877-A845-B6710F8247FA}"/>
  </hyperlinks>
  <pageMargins left="0.7" right="0.7" top="0.78740157499999996" bottom="0.78740157499999996" header="0.3" footer="0.3"/>
  <pageSetup paperSize="9"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88124-52E0-4508-A65C-0BC95FEBDD01}">
  <dimension ref="A1:I46"/>
  <sheetViews>
    <sheetView showGridLines="0" workbookViewId="0">
      <selection activeCell="B4" sqref="B4:I4"/>
    </sheetView>
  </sheetViews>
  <sheetFormatPr baseColWidth="10" defaultColWidth="11.5546875" defaultRowHeight="14.4" x14ac:dyDescent="0.3"/>
  <cols>
    <col min="1" max="1" width="5" style="249" customWidth="1"/>
    <col min="2" max="2" width="11.5546875" style="249"/>
    <col min="3" max="3" width="27.33203125" style="249" bestFit="1" customWidth="1"/>
    <col min="4" max="4" width="25.77734375" style="249" bestFit="1" customWidth="1"/>
    <col min="5" max="5" width="24.33203125" style="249" bestFit="1" customWidth="1"/>
    <col min="6" max="16384" width="11.5546875" style="249"/>
  </cols>
  <sheetData>
    <row r="1" spans="1:9" x14ac:dyDescent="0.3">
      <c r="A1" s="119" t="s">
        <v>883</v>
      </c>
    </row>
    <row r="4" spans="1:9" ht="25.2" x14ac:dyDescent="0.45">
      <c r="B4" s="774" t="s">
        <v>932</v>
      </c>
      <c r="C4" s="774"/>
      <c r="D4" s="774"/>
      <c r="E4" s="774"/>
      <c r="F4" s="774"/>
      <c r="G4" s="774"/>
      <c r="H4" s="774"/>
      <c r="I4" s="774"/>
    </row>
    <row r="5" spans="1:9" ht="25.8" x14ac:dyDescent="0.5">
      <c r="B5" s="722"/>
      <c r="C5" s="722"/>
      <c r="D5" s="722"/>
      <c r="E5" s="722"/>
      <c r="F5" s="722"/>
      <c r="G5" s="722"/>
      <c r="H5" s="722"/>
      <c r="I5" s="722"/>
    </row>
    <row r="6" spans="1:9" ht="30.6" customHeight="1" x14ac:dyDescent="0.3">
      <c r="B6" s="775" t="s">
        <v>116</v>
      </c>
      <c r="C6" s="777" t="s">
        <v>381</v>
      </c>
      <c r="D6" s="775" t="s">
        <v>382</v>
      </c>
      <c r="E6" s="779" t="s">
        <v>383</v>
      </c>
      <c r="F6" s="781" t="s">
        <v>642</v>
      </c>
      <c r="G6" s="781"/>
      <c r="H6" s="781"/>
      <c r="I6" s="781"/>
    </row>
    <row r="7" spans="1:9" x14ac:dyDescent="0.3">
      <c r="B7" s="776"/>
      <c r="C7" s="778"/>
      <c r="D7" s="776"/>
      <c r="E7" s="780"/>
      <c r="F7" s="422" t="s">
        <v>384</v>
      </c>
      <c r="G7" s="422" t="s">
        <v>385</v>
      </c>
      <c r="H7" s="422" t="s">
        <v>386</v>
      </c>
      <c r="I7" s="422" t="s">
        <v>387</v>
      </c>
    </row>
    <row r="8" spans="1:9" x14ac:dyDescent="0.3">
      <c r="B8" s="423" t="s">
        <v>119</v>
      </c>
      <c r="C8" s="424" t="s">
        <v>418</v>
      </c>
      <c r="D8" s="424" t="s">
        <v>388</v>
      </c>
      <c r="E8" s="425" t="s">
        <v>389</v>
      </c>
      <c r="F8" s="426" t="s">
        <v>389</v>
      </c>
      <c r="G8" s="426" t="s">
        <v>390</v>
      </c>
      <c r="H8" s="426" t="s">
        <v>390</v>
      </c>
      <c r="I8" s="427" t="s">
        <v>391</v>
      </c>
    </row>
    <row r="9" spans="1:9" x14ac:dyDescent="0.3">
      <c r="B9" s="423"/>
      <c r="C9" s="424" t="s">
        <v>419</v>
      </c>
      <c r="D9" s="424" t="s">
        <v>392</v>
      </c>
      <c r="E9" s="425" t="s">
        <v>200</v>
      </c>
      <c r="F9" s="426" t="s">
        <v>391</v>
      </c>
      <c r="G9" s="426" t="s">
        <v>391</v>
      </c>
      <c r="H9" s="426" t="s">
        <v>391</v>
      </c>
      <c r="I9" s="427" t="s">
        <v>391</v>
      </c>
    </row>
    <row r="10" spans="1:9" x14ac:dyDescent="0.3">
      <c r="B10" s="423"/>
      <c r="C10" s="424" t="s">
        <v>420</v>
      </c>
      <c r="D10" s="424" t="s">
        <v>393</v>
      </c>
      <c r="E10" s="425" t="s">
        <v>389</v>
      </c>
      <c r="F10" s="426" t="s">
        <v>390</v>
      </c>
      <c r="G10" s="426" t="s">
        <v>390</v>
      </c>
      <c r="H10" s="426" t="s">
        <v>253</v>
      </c>
      <c r="I10" s="427" t="s">
        <v>391</v>
      </c>
    </row>
    <row r="11" spans="1:9" x14ac:dyDescent="0.3">
      <c r="B11" s="423"/>
      <c r="C11" s="424" t="s">
        <v>420</v>
      </c>
      <c r="D11" s="424" t="s">
        <v>394</v>
      </c>
      <c r="E11" s="425" t="s">
        <v>389</v>
      </c>
      <c r="F11" s="426" t="s">
        <v>391</v>
      </c>
      <c r="G11" s="426" t="s">
        <v>391</v>
      </c>
      <c r="H11" s="426" t="s">
        <v>391</v>
      </c>
      <c r="I11" s="427" t="s">
        <v>391</v>
      </c>
    </row>
    <row r="12" spans="1:9" x14ac:dyDescent="0.3">
      <c r="B12" s="423"/>
      <c r="C12" s="424" t="s">
        <v>420</v>
      </c>
      <c r="D12" s="424" t="s">
        <v>395</v>
      </c>
      <c r="E12" s="425" t="s">
        <v>200</v>
      </c>
      <c r="F12" s="426" t="s">
        <v>391</v>
      </c>
      <c r="G12" s="426" t="s">
        <v>391</v>
      </c>
      <c r="H12" s="426" t="s">
        <v>391</v>
      </c>
      <c r="I12" s="427" t="s">
        <v>391</v>
      </c>
    </row>
    <row r="13" spans="1:9" x14ac:dyDescent="0.3">
      <c r="B13" s="423"/>
      <c r="C13" s="424" t="s">
        <v>420</v>
      </c>
      <c r="D13" s="424" t="s">
        <v>396</v>
      </c>
      <c r="E13" s="425" t="s">
        <v>200</v>
      </c>
      <c r="F13" s="426" t="s">
        <v>391</v>
      </c>
      <c r="G13" s="426" t="s">
        <v>391</v>
      </c>
      <c r="H13" s="426" t="s">
        <v>253</v>
      </c>
      <c r="I13" s="427" t="s">
        <v>391</v>
      </c>
    </row>
    <row r="14" spans="1:9" x14ac:dyDescent="0.3">
      <c r="B14" s="423"/>
      <c r="C14" s="424" t="s">
        <v>420</v>
      </c>
      <c r="D14" s="424" t="s">
        <v>397</v>
      </c>
      <c r="E14" s="425" t="s">
        <v>389</v>
      </c>
      <c r="F14" s="426" t="s">
        <v>390</v>
      </c>
      <c r="G14" s="426" t="s">
        <v>390</v>
      </c>
      <c r="H14" s="426" t="s">
        <v>253</v>
      </c>
      <c r="I14" s="427" t="s">
        <v>391</v>
      </c>
    </row>
    <row r="15" spans="1:9" x14ac:dyDescent="0.3">
      <c r="B15" s="423"/>
      <c r="C15" s="424" t="s">
        <v>421</v>
      </c>
      <c r="D15" s="424" t="s">
        <v>398</v>
      </c>
      <c r="E15" s="425" t="s">
        <v>389</v>
      </c>
      <c r="F15" s="426" t="s">
        <v>389</v>
      </c>
      <c r="G15" s="426" t="s">
        <v>390</v>
      </c>
      <c r="H15" s="426" t="s">
        <v>390</v>
      </c>
      <c r="I15" s="427" t="s">
        <v>391</v>
      </c>
    </row>
    <row r="16" spans="1:9" x14ac:dyDescent="0.3">
      <c r="B16" s="423"/>
      <c r="C16" s="424" t="s">
        <v>422</v>
      </c>
      <c r="D16" s="424" t="s">
        <v>398</v>
      </c>
      <c r="E16" s="425" t="s">
        <v>389</v>
      </c>
      <c r="F16" s="426" t="s">
        <v>389</v>
      </c>
      <c r="G16" s="426" t="s">
        <v>390</v>
      </c>
      <c r="H16" s="426" t="s">
        <v>390</v>
      </c>
      <c r="I16" s="427" t="s">
        <v>391</v>
      </c>
    </row>
    <row r="17" spans="2:9" x14ac:dyDescent="0.3">
      <c r="B17" s="428"/>
      <c r="C17" s="429" t="s">
        <v>420</v>
      </c>
      <c r="D17" s="429" t="s">
        <v>398</v>
      </c>
      <c r="E17" s="430" t="s">
        <v>389</v>
      </c>
      <c r="F17" s="431" t="s">
        <v>390</v>
      </c>
      <c r="G17" s="431" t="s">
        <v>390</v>
      </c>
      <c r="H17" s="431" t="s">
        <v>253</v>
      </c>
      <c r="I17" s="432" t="s">
        <v>391</v>
      </c>
    </row>
    <row r="18" spans="2:9" x14ac:dyDescent="0.3">
      <c r="B18" s="433" t="s">
        <v>124</v>
      </c>
      <c r="C18" s="434" t="s">
        <v>399</v>
      </c>
      <c r="D18" s="434" t="s">
        <v>400</v>
      </c>
      <c r="E18" s="435" t="s">
        <v>200</v>
      </c>
      <c r="F18" s="436" t="s">
        <v>391</v>
      </c>
      <c r="G18" s="436" t="s">
        <v>391</v>
      </c>
      <c r="H18" s="436" t="s">
        <v>391</v>
      </c>
      <c r="I18" s="437" t="s">
        <v>391</v>
      </c>
    </row>
    <row r="19" spans="2:9" x14ac:dyDescent="0.3">
      <c r="B19" s="423"/>
      <c r="C19" s="424" t="s">
        <v>421</v>
      </c>
      <c r="D19" s="424" t="s">
        <v>401</v>
      </c>
      <c r="E19" s="425" t="s">
        <v>389</v>
      </c>
      <c r="F19" s="426" t="s">
        <v>389</v>
      </c>
      <c r="G19" s="426" t="s">
        <v>200</v>
      </c>
      <c r="H19" s="426" t="s">
        <v>390</v>
      </c>
      <c r="I19" s="427" t="s">
        <v>391</v>
      </c>
    </row>
    <row r="20" spans="2:9" x14ac:dyDescent="0.3">
      <c r="B20" s="423"/>
      <c r="C20" s="424" t="s">
        <v>420</v>
      </c>
      <c r="D20" s="424" t="s">
        <v>401</v>
      </c>
      <c r="E20" s="425" t="s">
        <v>389</v>
      </c>
      <c r="F20" s="426" t="s">
        <v>391</v>
      </c>
      <c r="G20" s="426" t="s">
        <v>391</v>
      </c>
      <c r="H20" s="426" t="s">
        <v>391</v>
      </c>
      <c r="I20" s="427" t="s">
        <v>391</v>
      </c>
    </row>
    <row r="21" spans="2:9" x14ac:dyDescent="0.3">
      <c r="B21" s="428"/>
      <c r="C21" s="429" t="s">
        <v>420</v>
      </c>
      <c r="D21" s="429" t="s">
        <v>402</v>
      </c>
      <c r="E21" s="430" t="s">
        <v>389</v>
      </c>
      <c r="F21" s="431" t="s">
        <v>391</v>
      </c>
      <c r="G21" s="431" t="s">
        <v>391</v>
      </c>
      <c r="H21" s="431" t="s">
        <v>253</v>
      </c>
      <c r="I21" s="432" t="s">
        <v>391</v>
      </c>
    </row>
    <row r="22" spans="2:9" x14ac:dyDescent="0.3">
      <c r="B22" s="433" t="s">
        <v>128</v>
      </c>
      <c r="C22" s="434" t="s">
        <v>423</v>
      </c>
      <c r="D22" s="434" t="s">
        <v>403</v>
      </c>
      <c r="E22" s="435" t="s">
        <v>389</v>
      </c>
      <c r="F22" s="436" t="s">
        <v>391</v>
      </c>
      <c r="G22" s="436" t="s">
        <v>391</v>
      </c>
      <c r="H22" s="436" t="s">
        <v>391</v>
      </c>
      <c r="I22" s="437" t="s">
        <v>391</v>
      </c>
    </row>
    <row r="23" spans="2:9" x14ac:dyDescent="0.3">
      <c r="B23" s="428"/>
      <c r="C23" s="429" t="s">
        <v>423</v>
      </c>
      <c r="D23" s="429" t="s">
        <v>404</v>
      </c>
      <c r="E23" s="430" t="s">
        <v>389</v>
      </c>
      <c r="F23" s="431" t="s">
        <v>253</v>
      </c>
      <c r="G23" s="431" t="s">
        <v>253</v>
      </c>
      <c r="H23" s="431" t="s">
        <v>253</v>
      </c>
      <c r="I23" s="432" t="s">
        <v>391</v>
      </c>
    </row>
    <row r="24" spans="2:9" x14ac:dyDescent="0.3">
      <c r="B24" s="433" t="s">
        <v>121</v>
      </c>
      <c r="C24" s="434" t="s">
        <v>421</v>
      </c>
      <c r="D24" s="434" t="s">
        <v>405</v>
      </c>
      <c r="E24" s="435" t="s">
        <v>389</v>
      </c>
      <c r="F24" s="436" t="s">
        <v>200</v>
      </c>
      <c r="G24" s="436" t="s">
        <v>391</v>
      </c>
      <c r="H24" s="436" t="s">
        <v>391</v>
      </c>
      <c r="I24" s="437" t="s">
        <v>391</v>
      </c>
    </row>
    <row r="25" spans="2:9" x14ac:dyDescent="0.3">
      <c r="B25" s="423"/>
      <c r="C25" s="424" t="s">
        <v>421</v>
      </c>
      <c r="D25" s="424" t="s">
        <v>406</v>
      </c>
      <c r="E25" s="425" t="s">
        <v>389</v>
      </c>
      <c r="F25" s="426" t="s">
        <v>389</v>
      </c>
      <c r="G25" s="426" t="s">
        <v>390</v>
      </c>
      <c r="H25" s="426" t="s">
        <v>390</v>
      </c>
      <c r="I25" s="427" t="s">
        <v>391</v>
      </c>
    </row>
    <row r="26" spans="2:9" x14ac:dyDescent="0.3">
      <c r="B26" s="423"/>
      <c r="C26" s="424" t="s">
        <v>424</v>
      </c>
      <c r="D26" s="424" t="s">
        <v>407</v>
      </c>
      <c r="E26" s="438" t="s">
        <v>389</v>
      </c>
      <c r="F26" s="426" t="s">
        <v>390</v>
      </c>
      <c r="G26" s="426" t="s">
        <v>390</v>
      </c>
      <c r="H26" s="426"/>
      <c r="I26" s="427" t="s">
        <v>391</v>
      </c>
    </row>
    <row r="27" spans="2:9" x14ac:dyDescent="0.3">
      <c r="B27" s="423"/>
      <c r="C27" s="424" t="s">
        <v>425</v>
      </c>
      <c r="D27" s="424" t="s">
        <v>407</v>
      </c>
      <c r="E27" s="438" t="s">
        <v>200</v>
      </c>
      <c r="F27" s="426" t="s">
        <v>200</v>
      </c>
      <c r="G27" s="426" t="s">
        <v>391</v>
      </c>
      <c r="H27" s="426" t="s">
        <v>391</v>
      </c>
      <c r="I27" s="427" t="s">
        <v>391</v>
      </c>
    </row>
    <row r="28" spans="2:9" x14ac:dyDescent="0.3">
      <c r="B28" s="423"/>
      <c r="C28" s="424" t="s">
        <v>422</v>
      </c>
      <c r="D28" s="424" t="s">
        <v>407</v>
      </c>
      <c r="E28" s="438" t="s">
        <v>389</v>
      </c>
      <c r="F28" s="426" t="s">
        <v>408</v>
      </c>
      <c r="G28" s="426" t="s">
        <v>200</v>
      </c>
      <c r="H28" s="426" t="s">
        <v>390</v>
      </c>
      <c r="I28" s="427" t="s">
        <v>391</v>
      </c>
    </row>
    <row r="29" spans="2:9" x14ac:dyDescent="0.3">
      <c r="B29" s="423"/>
      <c r="C29" s="424" t="s">
        <v>424</v>
      </c>
      <c r="D29" s="424" t="s">
        <v>409</v>
      </c>
      <c r="E29" s="438" t="s">
        <v>389</v>
      </c>
      <c r="F29" s="426" t="s">
        <v>389</v>
      </c>
      <c r="G29" s="426" t="s">
        <v>390</v>
      </c>
      <c r="H29" s="426" t="s">
        <v>390</v>
      </c>
      <c r="I29" s="427" t="s">
        <v>391</v>
      </c>
    </row>
    <row r="30" spans="2:9" x14ac:dyDescent="0.3">
      <c r="B30" s="423"/>
      <c r="C30" s="424" t="s">
        <v>420</v>
      </c>
      <c r="D30" s="424" t="s">
        <v>410</v>
      </c>
      <c r="E30" s="438" t="s">
        <v>389</v>
      </c>
      <c r="F30" s="426" t="s">
        <v>390</v>
      </c>
      <c r="G30" s="426" t="s">
        <v>391</v>
      </c>
      <c r="H30" s="426" t="s">
        <v>391</v>
      </c>
      <c r="I30" s="427" t="s">
        <v>391</v>
      </c>
    </row>
    <row r="31" spans="2:9" x14ac:dyDescent="0.3">
      <c r="B31" s="423"/>
      <c r="C31" s="424" t="s">
        <v>420</v>
      </c>
      <c r="D31" s="424" t="s">
        <v>411</v>
      </c>
      <c r="E31" s="438" t="s">
        <v>389</v>
      </c>
      <c r="F31" s="426"/>
      <c r="G31" s="426" t="s">
        <v>200</v>
      </c>
      <c r="H31" s="426" t="s">
        <v>200</v>
      </c>
      <c r="I31" s="427" t="s">
        <v>391</v>
      </c>
    </row>
    <row r="32" spans="2:9" x14ac:dyDescent="0.3">
      <c r="B32" s="439" t="s">
        <v>129</v>
      </c>
      <c r="C32" s="439" t="s">
        <v>425</v>
      </c>
      <c r="D32" s="439" t="s">
        <v>412</v>
      </c>
      <c r="E32" s="440" t="s">
        <v>389</v>
      </c>
      <c r="F32" s="441" t="s">
        <v>389</v>
      </c>
      <c r="G32" s="441" t="s">
        <v>390</v>
      </c>
      <c r="H32" s="441" t="s">
        <v>390</v>
      </c>
      <c r="I32" s="442" t="s">
        <v>391</v>
      </c>
    </row>
    <row r="33" spans="2:9" x14ac:dyDescent="0.3">
      <c r="B33" s="439" t="s">
        <v>355</v>
      </c>
      <c r="C33" s="439" t="s">
        <v>426</v>
      </c>
      <c r="D33" s="439" t="s">
        <v>413</v>
      </c>
      <c r="E33" s="440" t="s">
        <v>389</v>
      </c>
      <c r="F33" s="441" t="s">
        <v>643</v>
      </c>
      <c r="G33" s="441" t="s">
        <v>643</v>
      </c>
      <c r="H33" s="441" t="s">
        <v>643</v>
      </c>
      <c r="I33" s="442" t="s">
        <v>391</v>
      </c>
    </row>
    <row r="34" spans="2:9" x14ac:dyDescent="0.3">
      <c r="B34" s="433" t="s">
        <v>353</v>
      </c>
      <c r="C34" s="434" t="s">
        <v>426</v>
      </c>
      <c r="D34" s="434" t="s">
        <v>414</v>
      </c>
      <c r="E34" s="435" t="s">
        <v>389</v>
      </c>
      <c r="F34" s="436" t="s">
        <v>643</v>
      </c>
      <c r="G34" s="436" t="s">
        <v>390</v>
      </c>
      <c r="H34" s="436" t="s">
        <v>643</v>
      </c>
      <c r="I34" s="437" t="s">
        <v>391</v>
      </c>
    </row>
    <row r="35" spans="2:9" x14ac:dyDescent="0.3">
      <c r="B35" s="428"/>
      <c r="C35" s="429" t="s">
        <v>426</v>
      </c>
      <c r="D35" s="429" t="s">
        <v>415</v>
      </c>
      <c r="E35" s="430" t="s">
        <v>389</v>
      </c>
      <c r="F35" s="431" t="s">
        <v>643</v>
      </c>
      <c r="G35" s="431" t="s">
        <v>390</v>
      </c>
      <c r="H35" s="431" t="s">
        <v>643</v>
      </c>
      <c r="I35" s="432" t="s">
        <v>391</v>
      </c>
    </row>
    <row r="36" spans="2:9" x14ac:dyDescent="0.3">
      <c r="B36" s="433" t="s">
        <v>351</v>
      </c>
      <c r="C36" s="434" t="s">
        <v>424</v>
      </c>
      <c r="D36" s="434" t="s">
        <v>416</v>
      </c>
      <c r="E36" s="435" t="s">
        <v>389</v>
      </c>
      <c r="F36" s="436" t="s">
        <v>390</v>
      </c>
      <c r="G36" s="436" t="s">
        <v>390</v>
      </c>
      <c r="H36" s="436"/>
      <c r="I36" s="437" t="s">
        <v>391</v>
      </c>
    </row>
    <row r="37" spans="2:9" x14ac:dyDescent="0.3">
      <c r="B37" s="423"/>
      <c r="C37" s="424" t="s">
        <v>421</v>
      </c>
      <c r="D37" s="424" t="s">
        <v>417</v>
      </c>
      <c r="E37" s="425" t="s">
        <v>389</v>
      </c>
      <c r="F37" s="426" t="s">
        <v>200</v>
      </c>
      <c r="G37" s="426" t="s">
        <v>200</v>
      </c>
      <c r="H37" s="426" t="s">
        <v>200</v>
      </c>
      <c r="I37" s="427" t="s">
        <v>391</v>
      </c>
    </row>
    <row r="38" spans="2:9" x14ac:dyDescent="0.3">
      <c r="B38" s="423"/>
      <c r="C38" s="424" t="s">
        <v>644</v>
      </c>
      <c r="D38" s="424" t="s">
        <v>645</v>
      </c>
      <c r="E38" s="425" t="s">
        <v>646</v>
      </c>
      <c r="F38" s="426" t="s">
        <v>200</v>
      </c>
      <c r="G38" s="426" t="s">
        <v>200</v>
      </c>
      <c r="H38" s="426" t="s">
        <v>200</v>
      </c>
      <c r="I38" s="427" t="s">
        <v>200</v>
      </c>
    </row>
    <row r="39" spans="2:9" x14ac:dyDescent="0.3">
      <c r="B39" s="423"/>
      <c r="D39" s="424" t="s">
        <v>647</v>
      </c>
      <c r="E39" s="425" t="s">
        <v>646</v>
      </c>
      <c r="F39" s="426" t="s">
        <v>391</v>
      </c>
      <c r="G39" s="426" t="s">
        <v>391</v>
      </c>
      <c r="H39" s="426" t="s">
        <v>391</v>
      </c>
      <c r="I39" s="427" t="s">
        <v>391</v>
      </c>
    </row>
    <row r="40" spans="2:9" x14ac:dyDescent="0.3">
      <c r="B40" s="423"/>
      <c r="C40" s="424" t="s">
        <v>648</v>
      </c>
      <c r="D40" s="424" t="s">
        <v>645</v>
      </c>
      <c r="E40" s="425" t="s">
        <v>646</v>
      </c>
      <c r="F40" s="426" t="s">
        <v>253</v>
      </c>
      <c r="G40" s="426" t="s">
        <v>253</v>
      </c>
      <c r="H40" s="426" t="s">
        <v>253</v>
      </c>
      <c r="I40" s="426" t="s">
        <v>253</v>
      </c>
    </row>
    <row r="41" spans="2:9" x14ac:dyDescent="0.3">
      <c r="B41" s="423"/>
      <c r="D41" s="424" t="s">
        <v>649</v>
      </c>
      <c r="E41" s="425" t="s">
        <v>646</v>
      </c>
      <c r="F41" s="426" t="s">
        <v>253</v>
      </c>
      <c r="G41" s="426" t="s">
        <v>253</v>
      </c>
      <c r="H41" s="426" t="s">
        <v>253</v>
      </c>
      <c r="I41" s="426" t="s">
        <v>253</v>
      </c>
    </row>
    <row r="42" spans="2:9" x14ac:dyDescent="0.3">
      <c r="B42" s="423"/>
      <c r="C42" s="424" t="s">
        <v>650</v>
      </c>
      <c r="D42" s="424" t="s">
        <v>651</v>
      </c>
      <c r="E42" s="425" t="s">
        <v>646</v>
      </c>
      <c r="F42" s="426" t="s">
        <v>391</v>
      </c>
      <c r="G42" s="426" t="s">
        <v>253</v>
      </c>
      <c r="H42" s="426" t="s">
        <v>391</v>
      </c>
      <c r="I42" s="427" t="s">
        <v>391</v>
      </c>
    </row>
    <row r="43" spans="2:9" x14ac:dyDescent="0.3">
      <c r="B43" s="423"/>
      <c r="D43" s="424" t="s">
        <v>652</v>
      </c>
      <c r="E43" s="425" t="s">
        <v>646</v>
      </c>
      <c r="F43" s="426" t="s">
        <v>391</v>
      </c>
      <c r="G43" s="426" t="s">
        <v>253</v>
      </c>
      <c r="H43" s="426" t="s">
        <v>391</v>
      </c>
      <c r="I43" s="427" t="s">
        <v>391</v>
      </c>
    </row>
    <row r="44" spans="2:9" x14ac:dyDescent="0.3">
      <c r="B44" s="423"/>
      <c r="C44" s="424" t="s">
        <v>426</v>
      </c>
      <c r="D44" s="424" t="s">
        <v>653</v>
      </c>
      <c r="E44" s="425" t="s">
        <v>646</v>
      </c>
      <c r="F44" s="443" t="s">
        <v>646</v>
      </c>
      <c r="G44" s="443" t="s">
        <v>646</v>
      </c>
      <c r="H44" s="443" t="s">
        <v>646</v>
      </c>
      <c r="I44" s="444" t="s">
        <v>391</v>
      </c>
    </row>
    <row r="45" spans="2:9" x14ac:dyDescent="0.3">
      <c r="B45" s="423"/>
      <c r="D45" s="424" t="s">
        <v>654</v>
      </c>
      <c r="E45" s="425" t="s">
        <v>646</v>
      </c>
      <c r="F45" s="443" t="s">
        <v>646</v>
      </c>
      <c r="G45" s="443" t="s">
        <v>646</v>
      </c>
      <c r="H45" s="443" t="s">
        <v>646</v>
      </c>
      <c r="I45" s="444" t="s">
        <v>391</v>
      </c>
    </row>
    <row r="46" spans="2:9" x14ac:dyDescent="0.3">
      <c r="B46" s="250"/>
      <c r="C46" s="429" t="s">
        <v>655</v>
      </c>
      <c r="D46" s="429" t="s">
        <v>652</v>
      </c>
      <c r="E46" s="445" t="s">
        <v>646</v>
      </c>
      <c r="F46" s="446" t="s">
        <v>253</v>
      </c>
      <c r="G46" s="446" t="s">
        <v>253</v>
      </c>
      <c r="H46" s="447" t="s">
        <v>646</v>
      </c>
      <c r="I46" s="432" t="s">
        <v>391</v>
      </c>
    </row>
  </sheetData>
  <mergeCells count="6">
    <mergeCell ref="B4:I4"/>
    <mergeCell ref="B6:B7"/>
    <mergeCell ref="C6:C7"/>
    <mergeCell ref="D6:D7"/>
    <mergeCell ref="E6:E7"/>
    <mergeCell ref="F6:I6"/>
  </mergeCells>
  <hyperlinks>
    <hyperlink ref="A1" location="'Table of Contents'!A1" display="Back to Table of Contents" xr:uid="{512155C9-8DC0-445D-B45C-51F4BEEB9B4B}"/>
  </hyperlink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1591F-6019-461F-B933-224DFB416E70}">
  <dimension ref="A1:H9"/>
  <sheetViews>
    <sheetView showGridLines="0" topLeftCell="B1" zoomScale="90" zoomScaleNormal="90" workbookViewId="0">
      <selection activeCell="B3" sqref="B3:H3"/>
    </sheetView>
  </sheetViews>
  <sheetFormatPr baseColWidth="10" defaultColWidth="11.5546875" defaultRowHeight="14.4" x14ac:dyDescent="0.3"/>
  <cols>
    <col min="1" max="1" width="4.6640625" style="249" customWidth="1"/>
    <col min="2" max="5" width="31" style="249" customWidth="1"/>
    <col min="6" max="6" width="75" style="252" customWidth="1"/>
    <col min="7" max="7" width="26" style="449" bestFit="1" customWidth="1"/>
    <col min="8" max="8" width="46.6640625" style="448" customWidth="1"/>
    <col min="9" max="10" width="46.6640625" style="249" customWidth="1"/>
    <col min="11" max="16384" width="11.5546875" style="249"/>
  </cols>
  <sheetData>
    <row r="1" spans="1:8" x14ac:dyDescent="0.3">
      <c r="A1" s="119" t="s">
        <v>883</v>
      </c>
    </row>
    <row r="2" spans="1:8" ht="18" x14ac:dyDescent="0.35">
      <c r="B2" s="248"/>
    </row>
    <row r="3" spans="1:8" ht="25.2" x14ac:dyDescent="0.3">
      <c r="B3" s="782" t="s">
        <v>884</v>
      </c>
      <c r="C3" s="782"/>
      <c r="D3" s="782"/>
      <c r="E3" s="782"/>
      <c r="F3" s="782"/>
      <c r="G3" s="782"/>
      <c r="H3" s="782"/>
    </row>
    <row r="4" spans="1:8" x14ac:dyDescent="0.3">
      <c r="F4" s="249"/>
      <c r="G4" s="249"/>
      <c r="H4" s="249"/>
    </row>
    <row r="5" spans="1:8" s="550" customFormat="1" ht="28.8" x14ac:dyDescent="0.3">
      <c r="B5" s="451" t="s">
        <v>436</v>
      </c>
      <c r="C5" s="721" t="s">
        <v>670</v>
      </c>
      <c r="D5" s="451" t="s">
        <v>437</v>
      </c>
      <c r="E5" s="451" t="s">
        <v>448</v>
      </c>
      <c r="F5" s="721" t="s">
        <v>438</v>
      </c>
      <c r="G5" s="451" t="s">
        <v>439</v>
      </c>
      <c r="H5" s="721" t="s">
        <v>440</v>
      </c>
    </row>
    <row r="6" spans="1:8" ht="245.4" customHeight="1" x14ac:dyDescent="0.3">
      <c r="B6" s="450" t="s">
        <v>441</v>
      </c>
      <c r="C6" s="450" t="s">
        <v>669</v>
      </c>
      <c r="D6" s="450" t="s">
        <v>442</v>
      </c>
      <c r="E6" s="450" t="s">
        <v>668</v>
      </c>
      <c r="F6" s="449" t="s">
        <v>449</v>
      </c>
      <c r="G6" s="449" t="s">
        <v>443</v>
      </c>
      <c r="H6" s="449" t="s">
        <v>667</v>
      </c>
    </row>
    <row r="7" spans="1:8" ht="245.4" customHeight="1" x14ac:dyDescent="0.3">
      <c r="B7" s="450" t="s">
        <v>666</v>
      </c>
      <c r="C7" s="450" t="s">
        <v>665</v>
      </c>
      <c r="D7" s="450" t="s">
        <v>442</v>
      </c>
      <c r="E7" s="450" t="s">
        <v>664</v>
      </c>
      <c r="F7" s="449" t="s">
        <v>663</v>
      </c>
      <c r="G7" s="449" t="s">
        <v>662</v>
      </c>
      <c r="H7" s="449" t="s">
        <v>661</v>
      </c>
    </row>
    <row r="8" spans="1:8" ht="238.8" customHeight="1" x14ac:dyDescent="0.3">
      <c r="B8" s="450" t="s">
        <v>444</v>
      </c>
      <c r="C8" s="251" t="s">
        <v>452</v>
      </c>
      <c r="D8" s="251" t="s">
        <v>445</v>
      </c>
      <c r="E8" s="251" t="s">
        <v>660</v>
      </c>
      <c r="F8" s="449" t="s">
        <v>450</v>
      </c>
      <c r="G8" s="449" t="s">
        <v>446</v>
      </c>
      <c r="H8" s="449" t="s">
        <v>659</v>
      </c>
    </row>
    <row r="9" spans="1:8" ht="261" customHeight="1" x14ac:dyDescent="0.3">
      <c r="B9" s="450" t="s">
        <v>444</v>
      </c>
      <c r="C9" s="251" t="s">
        <v>658</v>
      </c>
      <c r="D9" s="251" t="s">
        <v>445</v>
      </c>
      <c r="E9" s="251" t="s">
        <v>657</v>
      </c>
      <c r="F9" s="449" t="s">
        <v>451</v>
      </c>
      <c r="G9" s="449" t="s">
        <v>446</v>
      </c>
      <c r="H9" s="449" t="s">
        <v>656</v>
      </c>
    </row>
  </sheetData>
  <mergeCells count="1">
    <mergeCell ref="B3:H3"/>
  </mergeCells>
  <hyperlinks>
    <hyperlink ref="A1" location="'Table of Contents'!A1" display="Back to Table of Contents" xr:uid="{DD7F3E13-AB37-4AB2-B0DB-06E40557D995}"/>
  </hyperlinks>
  <pageMargins left="0.7" right="0.7" top="0.78740157499999996" bottom="0.78740157499999996" header="0.3" footer="0.3"/>
  <pageSetup paperSize="9" orientation="portrait" r:id="rId1"/>
  <headerFooter>
    <oddHeader>&amp;L&amp;"Calibri"&amp;10&amp;K000000 Sensitivity: Internal&amp;1#_x000D_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125D3-BC75-426F-A696-AB49C66A2FE9}">
  <dimension ref="A1:G48"/>
  <sheetViews>
    <sheetView showGridLines="0" zoomScaleNormal="100" workbookViewId="0">
      <selection activeCell="G6" sqref="G6"/>
    </sheetView>
  </sheetViews>
  <sheetFormatPr baseColWidth="10" defaultColWidth="11.5546875" defaultRowHeight="14.4" x14ac:dyDescent="0.3"/>
  <cols>
    <col min="1" max="1" width="3.88671875" style="249" customWidth="1"/>
    <col min="2" max="2" width="31.33203125" style="249" customWidth="1"/>
    <col min="3" max="6" width="16.44140625" style="249" customWidth="1"/>
    <col min="7" max="16384" width="11.5546875" style="249"/>
  </cols>
  <sheetData>
    <row r="1" spans="1:6" x14ac:dyDescent="0.3">
      <c r="A1" s="119" t="s">
        <v>883</v>
      </c>
    </row>
    <row r="3" spans="1:6" ht="25.8" x14ac:dyDescent="0.3">
      <c r="B3" s="741" t="s">
        <v>892</v>
      </c>
      <c r="C3" s="741"/>
      <c r="D3" s="741"/>
      <c r="E3" s="741"/>
      <c r="F3" s="723"/>
    </row>
    <row r="4" spans="1:6" x14ac:dyDescent="0.3">
      <c r="B4" s="469"/>
      <c r="C4" s="469"/>
    </row>
    <row r="7" spans="1:6" x14ac:dyDescent="0.3">
      <c r="B7" s="393" t="s">
        <v>319</v>
      </c>
      <c r="C7" s="470">
        <v>2025</v>
      </c>
      <c r="D7" s="470">
        <v>2024</v>
      </c>
      <c r="E7" s="393" t="s">
        <v>678</v>
      </c>
    </row>
    <row r="8" spans="1:6" x14ac:dyDescent="0.3">
      <c r="B8" s="256" t="s">
        <v>121</v>
      </c>
      <c r="C8" s="265">
        <v>147</v>
      </c>
      <c r="D8" s="479">
        <v>147</v>
      </c>
      <c r="E8" s="292">
        <f t="shared" ref="E8:E13" si="0">C8/D8-1</f>
        <v>0</v>
      </c>
    </row>
    <row r="9" spans="1:6" x14ac:dyDescent="0.3">
      <c r="B9" s="256" t="s">
        <v>254</v>
      </c>
      <c r="C9" s="265">
        <v>0</v>
      </c>
      <c r="D9" s="479">
        <v>0</v>
      </c>
      <c r="E9" s="292">
        <v>0</v>
      </c>
    </row>
    <row r="10" spans="1:6" x14ac:dyDescent="0.3">
      <c r="B10" s="256" t="s">
        <v>127</v>
      </c>
      <c r="C10" s="265">
        <v>1706</v>
      </c>
      <c r="D10" s="479">
        <v>1615</v>
      </c>
      <c r="E10" s="292">
        <f>C10/D10-1</f>
        <v>5.6346749226006132E-2</v>
      </c>
    </row>
    <row r="11" spans="1:6" x14ac:dyDescent="0.3">
      <c r="B11" s="256" t="s">
        <v>680</v>
      </c>
      <c r="C11" s="472">
        <v>3751</v>
      </c>
      <c r="D11" s="479">
        <v>5855</v>
      </c>
      <c r="E11" s="292">
        <f t="shared" si="0"/>
        <v>-0.35935098206660976</v>
      </c>
    </row>
    <row r="12" spans="1:6" ht="16.05" customHeight="1" x14ac:dyDescent="0.3">
      <c r="B12" s="256" t="s">
        <v>681</v>
      </c>
      <c r="C12" s="472">
        <v>1527</v>
      </c>
      <c r="D12" s="479">
        <v>1668</v>
      </c>
      <c r="E12" s="292">
        <f t="shared" si="0"/>
        <v>-8.4532374100719454E-2</v>
      </c>
    </row>
    <row r="13" spans="1:6" ht="16.05" customHeight="1" thickBot="1" x14ac:dyDescent="0.35">
      <c r="B13" s="256" t="s">
        <v>682</v>
      </c>
      <c r="C13" s="472">
        <v>121</v>
      </c>
      <c r="D13" s="479">
        <v>128</v>
      </c>
      <c r="E13" s="292">
        <f t="shared" si="0"/>
        <v>-5.46875E-2</v>
      </c>
    </row>
    <row r="14" spans="1:6" ht="15" thickBot="1" x14ac:dyDescent="0.35">
      <c r="B14" s="473" t="s">
        <v>44</v>
      </c>
      <c r="C14" s="474">
        <f>SUM(C8:C13)</f>
        <v>7252</v>
      </c>
      <c r="D14" s="474">
        <f>SUM(D8:D13)</f>
        <v>9413</v>
      </c>
      <c r="E14" s="475">
        <f>C14/D14-1</f>
        <v>-0.22957611813449486</v>
      </c>
    </row>
    <row r="15" spans="1:6" ht="15" thickTop="1" x14ac:dyDescent="0.3">
      <c r="B15" s="256"/>
      <c r="C15" s="256"/>
      <c r="D15" s="337"/>
      <c r="E15" s="256"/>
    </row>
    <row r="16" spans="1:6" x14ac:dyDescent="0.3">
      <c r="B16" s="256"/>
      <c r="C16" s="256"/>
      <c r="D16" s="337"/>
      <c r="E16" s="256"/>
    </row>
    <row r="17" spans="2:5" x14ac:dyDescent="0.3">
      <c r="B17" s="256"/>
      <c r="C17" s="256"/>
      <c r="D17" s="372"/>
      <c r="E17" s="256"/>
    </row>
    <row r="18" spans="2:5" x14ac:dyDescent="0.3">
      <c r="B18" s="393" t="s">
        <v>320</v>
      </c>
      <c r="C18" s="470">
        <v>2025</v>
      </c>
      <c r="D18" s="470">
        <v>2024</v>
      </c>
      <c r="E18" s="393" t="s">
        <v>678</v>
      </c>
    </row>
    <row r="19" spans="2:5" x14ac:dyDescent="0.3">
      <c r="B19" s="256" t="s">
        <v>121</v>
      </c>
      <c r="C19" s="471">
        <v>0</v>
      </c>
      <c r="D19" s="479">
        <v>0</v>
      </c>
      <c r="E19" s="292">
        <v>0</v>
      </c>
    </row>
    <row r="20" spans="2:5" x14ac:dyDescent="0.3">
      <c r="B20" s="256" t="s">
        <v>254</v>
      </c>
      <c r="C20" s="471">
        <v>0</v>
      </c>
      <c r="D20" s="479">
        <v>0</v>
      </c>
      <c r="E20" s="292">
        <v>0</v>
      </c>
    </row>
    <row r="21" spans="2:5" x14ac:dyDescent="0.3">
      <c r="B21" s="256" t="s">
        <v>127</v>
      </c>
      <c r="C21" s="265">
        <v>688</v>
      </c>
      <c r="D21" s="479">
        <v>641</v>
      </c>
      <c r="E21" s="292">
        <f>C21/D21-1</f>
        <v>7.3322932917316619E-2</v>
      </c>
    </row>
    <row r="22" spans="2:5" x14ac:dyDescent="0.3">
      <c r="B22" s="256" t="s">
        <v>680</v>
      </c>
      <c r="C22" s="471">
        <v>0</v>
      </c>
      <c r="D22" s="479">
        <v>283</v>
      </c>
      <c r="E22" s="292">
        <f t="shared" ref="E22" si="1">C22/D22-1</f>
        <v>-1</v>
      </c>
    </row>
    <row r="23" spans="2:5" x14ac:dyDescent="0.3">
      <c r="B23" s="256" t="s">
        <v>681</v>
      </c>
      <c r="C23" s="471">
        <v>0</v>
      </c>
      <c r="D23" s="479">
        <v>0</v>
      </c>
      <c r="E23" s="292">
        <v>0</v>
      </c>
    </row>
    <row r="24" spans="2:5" ht="15" thickBot="1" x14ac:dyDescent="0.35">
      <c r="B24" s="256" t="s">
        <v>682</v>
      </c>
      <c r="C24" s="471">
        <v>0</v>
      </c>
      <c r="D24" s="479">
        <v>0</v>
      </c>
      <c r="E24" s="292">
        <v>0</v>
      </c>
    </row>
    <row r="25" spans="2:5" ht="15" thickBot="1" x14ac:dyDescent="0.35">
      <c r="B25" s="473" t="s">
        <v>44</v>
      </c>
      <c r="C25" s="476">
        <f>SUM(C19:C24)</f>
        <v>688</v>
      </c>
      <c r="D25" s="480">
        <v>924.15956502656127</v>
      </c>
      <c r="E25" s="475">
        <f>C25/D25-1</f>
        <v>-0.25553981581067531</v>
      </c>
    </row>
    <row r="26" spans="2:5" ht="15" thickTop="1" x14ac:dyDescent="0.3"/>
    <row r="27" spans="2:5" x14ac:dyDescent="0.3">
      <c r="B27" s="256"/>
      <c r="C27" s="256"/>
      <c r="D27" s="477"/>
    </row>
    <row r="28" spans="2:5" x14ac:dyDescent="0.3">
      <c r="B28" s="725" t="s">
        <v>893</v>
      </c>
      <c r="C28" s="470">
        <v>2025</v>
      </c>
      <c r="D28" s="470">
        <v>2024</v>
      </c>
      <c r="E28" s="393" t="s">
        <v>678</v>
      </c>
    </row>
    <row r="29" spans="2:5" x14ac:dyDescent="0.3">
      <c r="B29" s="249" t="s">
        <v>321</v>
      </c>
      <c r="C29" s="265">
        <v>3627</v>
      </c>
      <c r="D29" s="481">
        <v>4098</v>
      </c>
      <c r="E29" s="126">
        <f t="shared" ref="E29:E33" si="2">C29/D29-1</f>
        <v>-0.1149341142020498</v>
      </c>
    </row>
    <row r="30" spans="2:5" x14ac:dyDescent="0.3">
      <c r="B30" s="249" t="s">
        <v>322</v>
      </c>
      <c r="C30" s="265">
        <v>1</v>
      </c>
      <c r="D30" s="481">
        <v>2</v>
      </c>
      <c r="E30" s="126">
        <f t="shared" si="2"/>
        <v>-0.5</v>
      </c>
    </row>
    <row r="31" spans="2:5" x14ac:dyDescent="0.3">
      <c r="B31" s="249" t="s">
        <v>323</v>
      </c>
      <c r="C31" s="471">
        <v>0</v>
      </c>
      <c r="D31" s="482">
        <v>0.01</v>
      </c>
      <c r="E31" s="126">
        <f>C31/D31-1</f>
        <v>-1</v>
      </c>
    </row>
    <row r="32" spans="2:5" x14ac:dyDescent="0.3">
      <c r="B32" s="249" t="s">
        <v>431</v>
      </c>
      <c r="C32" s="478">
        <v>33</v>
      </c>
      <c r="D32" s="481">
        <v>31</v>
      </c>
      <c r="E32" s="126">
        <f t="shared" si="2"/>
        <v>6.4516129032258007E-2</v>
      </c>
    </row>
    <row r="33" spans="1:7" x14ac:dyDescent="0.3">
      <c r="B33" s="249" t="s">
        <v>683</v>
      </c>
      <c r="C33" s="478">
        <v>61</v>
      </c>
      <c r="D33" s="481">
        <v>122</v>
      </c>
      <c r="E33" s="126">
        <f t="shared" si="2"/>
        <v>-0.5</v>
      </c>
    </row>
    <row r="34" spans="1:7" x14ac:dyDescent="0.3">
      <c r="E34" s="128"/>
    </row>
    <row r="37" spans="1:7" ht="28.2" customHeight="1" x14ac:dyDescent="0.3">
      <c r="B37" s="784" t="s">
        <v>894</v>
      </c>
      <c r="C37" s="784"/>
      <c r="D37" s="784"/>
      <c r="E37" s="784"/>
      <c r="F37" s="784"/>
      <c r="G37" s="784"/>
    </row>
    <row r="38" spans="1:7" ht="14.4" customHeight="1" x14ac:dyDescent="0.3">
      <c r="B38" s="723"/>
      <c r="C38" s="723"/>
      <c r="D38" s="723"/>
      <c r="E38" s="723"/>
      <c r="F38" s="723"/>
      <c r="G38" s="723"/>
    </row>
    <row r="39" spans="1:7" s="484" customFormat="1" ht="409.2" customHeight="1" x14ac:dyDescent="0.3">
      <c r="A39" s="727"/>
      <c r="B39" s="783" t="s">
        <v>685</v>
      </c>
      <c r="C39" s="783"/>
      <c r="D39" s="783"/>
      <c r="E39" s="783"/>
      <c r="F39" s="783"/>
      <c r="G39" s="783"/>
    </row>
    <row r="40" spans="1:7" s="484" customFormat="1" ht="55.8" customHeight="1" x14ac:dyDescent="0.3">
      <c r="A40" s="726"/>
      <c r="B40" s="783"/>
      <c r="C40" s="783"/>
      <c r="D40" s="783"/>
      <c r="E40" s="783"/>
      <c r="F40" s="783"/>
      <c r="G40" s="783"/>
    </row>
    <row r="41" spans="1:7" s="484" customFormat="1" ht="55.8" customHeight="1" x14ac:dyDescent="0.3">
      <c r="A41" s="726"/>
      <c r="B41" s="783"/>
      <c r="C41" s="783"/>
      <c r="D41" s="783"/>
      <c r="E41" s="783"/>
      <c r="F41" s="783"/>
      <c r="G41" s="783"/>
    </row>
    <row r="42" spans="1:7" s="484" customFormat="1" ht="55.8" customHeight="1" x14ac:dyDescent="0.3">
      <c r="A42" s="726"/>
      <c r="B42" s="783"/>
      <c r="C42" s="783"/>
      <c r="D42" s="783"/>
      <c r="E42" s="783"/>
      <c r="F42" s="783"/>
      <c r="G42" s="783"/>
    </row>
    <row r="43" spans="1:7" s="484" customFormat="1" ht="55.8" customHeight="1" x14ac:dyDescent="0.3">
      <c r="A43" s="726"/>
      <c r="B43" s="783"/>
      <c r="C43" s="783"/>
      <c r="D43" s="783"/>
      <c r="E43" s="783"/>
      <c r="F43" s="783"/>
      <c r="G43" s="783"/>
    </row>
    <row r="44" spans="1:7" s="484" customFormat="1" ht="55.8" customHeight="1" x14ac:dyDescent="0.3">
      <c r="A44" s="785"/>
      <c r="B44" s="785"/>
      <c r="C44" s="785"/>
      <c r="D44" s="785"/>
      <c r="E44" s="785"/>
    </row>
    <row r="45" spans="1:7" s="484" customFormat="1" ht="55.8" customHeight="1" x14ac:dyDescent="0.3">
      <c r="A45" s="785"/>
      <c r="B45" s="785"/>
      <c r="C45" s="785"/>
      <c r="D45" s="785"/>
      <c r="E45" s="785"/>
    </row>
    <row r="46" spans="1:7" s="484" customFormat="1" ht="55.8" customHeight="1" x14ac:dyDescent="0.3">
      <c r="A46" s="785"/>
      <c r="B46" s="785"/>
      <c r="C46" s="785"/>
      <c r="D46" s="785"/>
      <c r="E46" s="785"/>
    </row>
    <row r="47" spans="1:7" s="484" customFormat="1" ht="55.8" customHeight="1" x14ac:dyDescent="0.3">
      <c r="A47" s="785"/>
      <c r="B47" s="785"/>
      <c r="C47" s="785"/>
      <c r="D47" s="785"/>
      <c r="E47" s="785"/>
    </row>
    <row r="48" spans="1:7" s="484" customFormat="1" ht="55.8" customHeight="1" x14ac:dyDescent="0.3">
      <c r="A48" s="785"/>
      <c r="B48" s="785"/>
      <c r="C48" s="785"/>
      <c r="D48" s="785"/>
      <c r="E48" s="785"/>
    </row>
  </sheetData>
  <mergeCells count="8">
    <mergeCell ref="B3:E3"/>
    <mergeCell ref="B39:G43"/>
    <mergeCell ref="B37:G37"/>
    <mergeCell ref="A47:E47"/>
    <mergeCell ref="A48:E48"/>
    <mergeCell ref="A44:E44"/>
    <mergeCell ref="A45:E45"/>
    <mergeCell ref="A46:E46"/>
  </mergeCells>
  <hyperlinks>
    <hyperlink ref="A1" location="'Table of Contents'!A1" display="Back to Table of Contents" xr:uid="{24C2FCB0-CA83-4862-8A2C-19A39E8F03EA}"/>
  </hyperlinks>
  <pageMargins left="0.7" right="0.7" top="0.78740157499999996" bottom="0.78740157499999996" header="0.3" footer="0.3"/>
  <ignoredErrors>
    <ignoredError sqref="C14:D14" formulaRange="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1EDA6-B7DE-4767-8C23-6902368A1976}">
  <sheetPr>
    <pageSetUpPr fitToPage="1"/>
  </sheetPr>
  <dimension ref="A1:I23"/>
  <sheetViews>
    <sheetView showGridLines="0" zoomScale="85" zoomScaleNormal="85" workbookViewId="0">
      <selection activeCell="B2" sqref="B2:I2"/>
    </sheetView>
  </sheetViews>
  <sheetFormatPr baseColWidth="10" defaultColWidth="8.44140625" defaultRowHeight="14.4" x14ac:dyDescent="0.3"/>
  <cols>
    <col min="1" max="1" width="4.77734375" style="150" customWidth="1"/>
    <col min="2" max="2" width="62.21875" style="150" customWidth="1"/>
    <col min="3" max="7" width="14" style="150" customWidth="1"/>
    <col min="8" max="8" width="14" style="150" bestFit="1" customWidth="1"/>
    <col min="9" max="9" width="11.77734375" style="150" bestFit="1" customWidth="1"/>
    <col min="10" max="16384" width="8.44140625" style="150"/>
  </cols>
  <sheetData>
    <row r="1" spans="1:9" x14ac:dyDescent="0.3">
      <c r="A1" s="119" t="s">
        <v>883</v>
      </c>
    </row>
    <row r="2" spans="1:9" ht="25.2" x14ac:dyDescent="0.3">
      <c r="B2" s="786" t="s">
        <v>339</v>
      </c>
      <c r="C2" s="786"/>
      <c r="D2" s="786"/>
      <c r="E2" s="786"/>
      <c r="F2" s="786"/>
      <c r="G2" s="786"/>
      <c r="H2" s="786"/>
      <c r="I2" s="786"/>
    </row>
    <row r="4" spans="1:9" ht="15.6" x14ac:dyDescent="0.3">
      <c r="B4" s="230" t="s">
        <v>153</v>
      </c>
      <c r="C4" s="230">
        <v>2019</v>
      </c>
      <c r="D4" s="230">
        <v>2020</v>
      </c>
      <c r="E4" s="230">
        <v>2021</v>
      </c>
      <c r="F4" s="230">
        <v>2022</v>
      </c>
      <c r="G4" s="230">
        <v>2023</v>
      </c>
      <c r="H4" s="230">
        <v>2024</v>
      </c>
      <c r="I4" s="230">
        <v>2025</v>
      </c>
    </row>
    <row r="5" spans="1:9" ht="15.6" x14ac:dyDescent="0.3">
      <c r="B5" s="231" t="s">
        <v>154</v>
      </c>
      <c r="C5" s="232">
        <v>90</v>
      </c>
      <c r="D5" s="232">
        <v>91</v>
      </c>
      <c r="E5" s="232">
        <v>91</v>
      </c>
      <c r="F5" s="232">
        <v>81</v>
      </c>
      <c r="G5" s="232">
        <v>80</v>
      </c>
      <c r="H5" s="232">
        <v>77</v>
      </c>
      <c r="I5" s="232">
        <v>90</v>
      </c>
    </row>
    <row r="6" spans="1:9" ht="15.6" x14ac:dyDescent="0.3">
      <c r="B6" s="231" t="s">
        <v>155</v>
      </c>
      <c r="C6" s="232">
        <v>10</v>
      </c>
      <c r="D6" s="232">
        <v>9</v>
      </c>
      <c r="E6" s="232">
        <v>9</v>
      </c>
      <c r="F6" s="232">
        <v>19</v>
      </c>
      <c r="G6" s="232">
        <v>20</v>
      </c>
      <c r="H6" s="232">
        <v>23</v>
      </c>
      <c r="I6" s="232">
        <v>10</v>
      </c>
    </row>
    <row r="7" spans="1:9" ht="15.6" x14ac:dyDescent="0.3">
      <c r="B7" s="233"/>
      <c r="C7" s="233"/>
      <c r="D7" s="233"/>
      <c r="E7" s="233"/>
      <c r="F7" s="233"/>
      <c r="G7" s="233"/>
      <c r="H7" s="233"/>
      <c r="I7" s="233"/>
    </row>
    <row r="8" spans="1:9" ht="17.399999999999999" x14ac:dyDescent="0.3">
      <c r="B8" s="230" t="s">
        <v>519</v>
      </c>
      <c r="C8" s="230">
        <v>2019</v>
      </c>
      <c r="D8" s="230">
        <v>2020</v>
      </c>
      <c r="E8" s="230">
        <v>2021</v>
      </c>
      <c r="F8" s="230">
        <v>2022</v>
      </c>
      <c r="G8" s="230">
        <v>2023</v>
      </c>
      <c r="H8" s="230">
        <v>2024</v>
      </c>
      <c r="I8" s="230">
        <v>2025</v>
      </c>
    </row>
    <row r="9" spans="1:9" ht="17.399999999999999" x14ac:dyDescent="0.3">
      <c r="B9" s="231" t="s">
        <v>520</v>
      </c>
      <c r="C9" s="234">
        <v>14.8</v>
      </c>
      <c r="D9" s="234">
        <v>12.5</v>
      </c>
      <c r="E9" s="234">
        <v>12.517447000000001</v>
      </c>
      <c r="F9" s="234">
        <v>9.1795660133509998</v>
      </c>
      <c r="G9" s="234">
        <v>9.4</v>
      </c>
      <c r="H9" s="234">
        <v>10.1</v>
      </c>
      <c r="I9" s="234">
        <v>8.5</v>
      </c>
    </row>
    <row r="10" spans="1:9" ht="17.399999999999999" x14ac:dyDescent="0.3">
      <c r="B10" s="231" t="s">
        <v>521</v>
      </c>
      <c r="C10" s="234">
        <v>1.5</v>
      </c>
      <c r="D10" s="234">
        <v>1.1000000000000001</v>
      </c>
      <c r="E10" s="234">
        <v>1.09595</v>
      </c>
      <c r="F10" s="234">
        <v>1.718272</v>
      </c>
      <c r="G10" s="234">
        <v>1.8</v>
      </c>
      <c r="H10" s="234">
        <v>2.4</v>
      </c>
      <c r="I10" s="234">
        <v>0.9</v>
      </c>
    </row>
    <row r="11" spans="1:9" ht="15.6" x14ac:dyDescent="0.3">
      <c r="B11" s="231"/>
      <c r="C11" s="231"/>
      <c r="D11" s="231"/>
      <c r="E11" s="231"/>
      <c r="F11" s="235"/>
      <c r="G11" s="235"/>
      <c r="H11" s="235"/>
      <c r="I11" s="235"/>
    </row>
    <row r="12" spans="1:9" ht="15.6" x14ac:dyDescent="0.3">
      <c r="B12" s="231" t="s">
        <v>156</v>
      </c>
      <c r="C12" s="231"/>
      <c r="D12" s="231"/>
      <c r="E12" s="231"/>
      <c r="F12" s="235"/>
      <c r="G12" s="235"/>
      <c r="H12" s="235"/>
      <c r="I12" s="235"/>
    </row>
    <row r="13" spans="1:9" ht="15.6" x14ac:dyDescent="0.3">
      <c r="B13" s="231"/>
      <c r="C13" s="231"/>
      <c r="D13" s="231"/>
      <c r="E13" s="231"/>
      <c r="F13" s="231"/>
      <c r="G13" s="231"/>
      <c r="H13" s="231"/>
      <c r="I13" s="231"/>
    </row>
    <row r="14" spans="1:9" ht="15.6" x14ac:dyDescent="0.3">
      <c r="B14" s="230" t="s">
        <v>157</v>
      </c>
      <c r="C14" s="230">
        <v>2019</v>
      </c>
      <c r="D14" s="230">
        <v>2020</v>
      </c>
      <c r="E14" s="230">
        <v>2021</v>
      </c>
      <c r="F14" s="230">
        <v>2022</v>
      </c>
      <c r="G14" s="230">
        <v>2023</v>
      </c>
      <c r="H14" s="230">
        <v>2024</v>
      </c>
      <c r="I14" s="230">
        <v>2025</v>
      </c>
    </row>
    <row r="15" spans="1:9" ht="15.6" x14ac:dyDescent="0.3">
      <c r="B15" s="231" t="s">
        <v>158</v>
      </c>
      <c r="C15" s="232">
        <v>12506039.56461313</v>
      </c>
      <c r="D15" s="232">
        <v>10377684.443362795</v>
      </c>
      <c r="E15" s="232">
        <v>10118341</v>
      </c>
      <c r="F15" s="232">
        <v>7393478.4933509994</v>
      </c>
      <c r="G15" s="232">
        <v>7378258</v>
      </c>
      <c r="H15" s="232">
        <v>8087384</v>
      </c>
      <c r="I15" s="232">
        <v>7767000</v>
      </c>
    </row>
    <row r="16" spans="1:9" ht="15.6" x14ac:dyDescent="0.3">
      <c r="B16" s="231" t="s">
        <v>159</v>
      </c>
      <c r="C16" s="232">
        <v>2298164.4367857818</v>
      </c>
      <c r="D16" s="232">
        <v>2079465.7207857817</v>
      </c>
      <c r="E16" s="232">
        <v>562766</v>
      </c>
      <c r="F16" s="232">
        <v>472082</v>
      </c>
      <c r="G16" s="232">
        <v>608212</v>
      </c>
      <c r="H16" s="232">
        <v>579551</v>
      </c>
      <c r="I16" s="232">
        <v>676000</v>
      </c>
    </row>
    <row r="17" spans="2:9" ht="15.6" x14ac:dyDescent="0.3">
      <c r="B17" s="231" t="s">
        <v>206</v>
      </c>
      <c r="C17" s="232" t="s">
        <v>93</v>
      </c>
      <c r="D17" s="232" t="s">
        <v>93</v>
      </c>
      <c r="E17" s="232">
        <v>1836340</v>
      </c>
      <c r="F17" s="232">
        <v>1314005.52</v>
      </c>
      <c r="G17" s="232">
        <v>1411256</v>
      </c>
      <c r="H17" s="232">
        <v>1402614</v>
      </c>
      <c r="I17" s="232">
        <v>17857.114000000001</v>
      </c>
    </row>
    <row r="18" spans="2:9" ht="15.6" x14ac:dyDescent="0.3">
      <c r="B18" s="231" t="s">
        <v>160</v>
      </c>
      <c r="C18" s="232">
        <v>14804204.001398912</v>
      </c>
      <c r="D18" s="232">
        <v>12457150.164148577</v>
      </c>
      <c r="E18" s="232">
        <v>12517447</v>
      </c>
      <c r="F18" s="232">
        <v>9179566.013350999</v>
      </c>
      <c r="G18" s="232">
        <v>9397726.0205490012</v>
      </c>
      <c r="H18" s="232">
        <v>10069548.997</v>
      </c>
      <c r="I18" s="232">
        <v>8461000</v>
      </c>
    </row>
    <row r="19" spans="2:9" x14ac:dyDescent="0.3">
      <c r="B19" s="236"/>
      <c r="C19" s="236"/>
      <c r="D19" s="236"/>
      <c r="E19" s="236"/>
      <c r="F19" s="236"/>
      <c r="G19" s="236"/>
      <c r="H19" s="237"/>
      <c r="I19" s="237"/>
    </row>
    <row r="20" spans="2:9" ht="22.5" customHeight="1" x14ac:dyDescent="0.3">
      <c r="B20" s="238" t="s">
        <v>247</v>
      </c>
      <c r="C20" s="236"/>
      <c r="D20" s="236"/>
      <c r="E20" s="236"/>
      <c r="F20" s="236"/>
      <c r="G20" s="236"/>
      <c r="H20" s="239"/>
      <c r="I20" s="239"/>
    </row>
    <row r="21" spans="2:9" ht="15.6" x14ac:dyDescent="0.3">
      <c r="B21" s="240" t="s">
        <v>246</v>
      </c>
      <c r="C21" s="236"/>
      <c r="D21" s="236"/>
      <c r="E21" s="236"/>
      <c r="F21" s="236"/>
      <c r="G21" s="236"/>
      <c r="H21" s="236"/>
      <c r="I21" s="236"/>
    </row>
    <row r="23" spans="2:9" x14ac:dyDescent="0.3">
      <c r="D23" s="241"/>
    </row>
  </sheetData>
  <sheetProtection formatCells="0" formatColumns="0" formatRows="0" insertColumns="0" insertRows="0" insertHyperlinks="0" deleteColumns="0" deleteRows="0"/>
  <mergeCells count="1">
    <mergeCell ref="B2:I2"/>
  </mergeCells>
  <hyperlinks>
    <hyperlink ref="A1" location="'Table of Contents'!A1" display="Back to Table of Contents" xr:uid="{72535DC9-66CD-4E61-A533-3A32B7F1286D}"/>
  </hyperlinks>
  <pageMargins left="0.23622047244094491" right="0.23622047244094491" top="0.74803149606299213" bottom="0.74803149606299213" header="0.31496062992125984" footer="0.31496062992125984"/>
  <pageSetup paperSize="9" scale="94" orientation="landscape" r:id="rId1"/>
  <headerFooter>
    <oddHeader>&amp;L&amp;"Calibri"&amp;11&amp;K000000Sustainability Data Pack 2022&amp;CRHI Magnesita&amp;R&amp;G</oddHeader>
    <oddFooter>&amp;R&amp;P/&amp;N</oddFooter>
  </headerFooter>
  <drawing r:id="rId2"/>
  <legacyDrawingHF r:id="rId3"/>
  <picture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34B10C-C3F3-46E0-967A-7F24950F8F4E}">
  <dimension ref="A1:R42"/>
  <sheetViews>
    <sheetView showGridLines="0" zoomScaleNormal="100" workbookViewId="0">
      <selection activeCell="B3" sqref="B3:K3"/>
    </sheetView>
  </sheetViews>
  <sheetFormatPr baseColWidth="10" defaultColWidth="11.44140625" defaultRowHeight="14.4" x14ac:dyDescent="0.3"/>
  <cols>
    <col min="1" max="1" width="3.88671875" style="242" customWidth="1"/>
    <col min="2" max="2" width="71.44140625" style="242" bestFit="1" customWidth="1"/>
    <col min="3" max="3" width="14.44140625" style="242" bestFit="1" customWidth="1"/>
    <col min="4" max="4" width="16.21875" style="242" customWidth="1"/>
    <col min="5" max="5" width="11.77734375" style="242" bestFit="1" customWidth="1"/>
    <col min="6" max="8" width="11.44140625" style="242"/>
    <col min="9" max="9" width="13.77734375" style="242" bestFit="1" customWidth="1"/>
    <col min="10" max="16384" width="11.44140625" style="242"/>
  </cols>
  <sheetData>
    <row r="1" spans="1:16" x14ac:dyDescent="0.3">
      <c r="A1" s="119" t="s">
        <v>883</v>
      </c>
    </row>
    <row r="3" spans="1:16" s="150" customFormat="1" ht="24" customHeight="1" x14ac:dyDescent="0.45">
      <c r="B3" s="741" t="s">
        <v>933</v>
      </c>
      <c r="C3" s="741"/>
      <c r="D3" s="741"/>
      <c r="E3" s="741"/>
      <c r="F3" s="741"/>
      <c r="G3" s="741"/>
      <c r="H3" s="741"/>
      <c r="I3" s="741"/>
      <c r="J3" s="741"/>
      <c r="K3" s="741"/>
      <c r="L3" s="247"/>
      <c r="M3" s="247"/>
      <c r="N3" s="247"/>
      <c r="O3" s="247"/>
      <c r="P3" s="247"/>
    </row>
    <row r="4" spans="1:16" s="150" customFormat="1" x14ac:dyDescent="0.3"/>
    <row r="5" spans="1:16" s="150" customFormat="1" x14ac:dyDescent="0.3">
      <c r="B5" s="305" t="s">
        <v>674</v>
      </c>
      <c r="C5" s="245" t="s">
        <v>475</v>
      </c>
      <c r="D5" s="245" t="s">
        <v>469</v>
      </c>
      <c r="E5" s="245" t="s">
        <v>468</v>
      </c>
      <c r="F5" s="245" t="s">
        <v>467</v>
      </c>
      <c r="G5" s="245" t="s">
        <v>466</v>
      </c>
      <c r="H5" s="245" t="s">
        <v>465</v>
      </c>
      <c r="I5" s="245" t="s">
        <v>464</v>
      </c>
      <c r="J5" s="245" t="s">
        <v>474</v>
      </c>
      <c r="K5" s="245" t="s">
        <v>556</v>
      </c>
    </row>
    <row r="6" spans="1:16" s="150" customFormat="1" ht="15.6" x14ac:dyDescent="0.3">
      <c r="B6" s="454" t="s">
        <v>140</v>
      </c>
      <c r="C6" s="455">
        <v>0.159</v>
      </c>
      <c r="D6" s="455">
        <v>0.14199999999999999</v>
      </c>
      <c r="E6" s="455">
        <v>0.126</v>
      </c>
      <c r="F6" s="455">
        <v>0.105</v>
      </c>
      <c r="G6" s="455">
        <v>6.8000000000000005E-2</v>
      </c>
      <c r="H6" s="455">
        <v>0.05</v>
      </c>
      <c r="I6" s="455">
        <v>4.5999999999999999E-2</v>
      </c>
      <c r="J6" s="455">
        <v>3.7999999999999999E-2</v>
      </c>
      <c r="K6" s="455">
        <f>C6/D6-1</f>
        <v>0.11971830985915499</v>
      </c>
    </row>
    <row r="7" spans="1:16" s="150" customFormat="1" x14ac:dyDescent="0.3">
      <c r="B7" s="291"/>
      <c r="C7" s="291"/>
      <c r="D7" s="291"/>
      <c r="E7" s="291"/>
      <c r="F7" s="291"/>
      <c r="G7" s="291"/>
      <c r="H7" s="291"/>
      <c r="I7" s="291"/>
      <c r="J7" s="291"/>
      <c r="K7"/>
    </row>
    <row r="8" spans="1:16" s="150" customFormat="1" x14ac:dyDescent="0.3">
      <c r="B8" s="305" t="s">
        <v>675</v>
      </c>
      <c r="C8" s="245" t="s">
        <v>475</v>
      </c>
      <c r="D8" s="245" t="s">
        <v>469</v>
      </c>
      <c r="E8" s="245" t="s">
        <v>468</v>
      </c>
      <c r="F8" s="245" t="s">
        <v>467</v>
      </c>
      <c r="G8" s="245" t="s">
        <v>466</v>
      </c>
      <c r="H8" s="245" t="s">
        <v>465</v>
      </c>
      <c r="I8" s="245" t="s">
        <v>464</v>
      </c>
      <c r="J8" s="245" t="s">
        <v>474</v>
      </c>
      <c r="K8" s="245" t="s">
        <v>556</v>
      </c>
    </row>
    <row r="9" spans="1:16" s="150" customFormat="1" x14ac:dyDescent="0.3">
      <c r="B9" s="454" t="s">
        <v>141</v>
      </c>
      <c r="C9" s="456">
        <v>416000</v>
      </c>
      <c r="D9" s="456">
        <v>364000</v>
      </c>
      <c r="E9" s="456">
        <v>271000</v>
      </c>
      <c r="F9" s="457">
        <v>226</v>
      </c>
      <c r="G9" s="457">
        <v>166</v>
      </c>
      <c r="H9" s="457">
        <v>91</v>
      </c>
      <c r="I9" s="457">
        <v>42</v>
      </c>
      <c r="J9" s="457">
        <v>36</v>
      </c>
      <c r="K9" s="458">
        <f>C9/D9-1</f>
        <v>0.14285714285714279</v>
      </c>
    </row>
    <row r="10" spans="1:16" s="150" customFormat="1" ht="18" x14ac:dyDescent="0.4">
      <c r="B10" s="454" t="s">
        <v>676</v>
      </c>
      <c r="C10" s="456">
        <v>551000</v>
      </c>
      <c r="D10" s="456">
        <v>476000</v>
      </c>
      <c r="E10" s="456">
        <v>393000</v>
      </c>
      <c r="F10" s="456">
        <v>337000</v>
      </c>
      <c r="G10" s="456">
        <v>268000</v>
      </c>
      <c r="H10" s="456">
        <v>142000</v>
      </c>
      <c r="I10" s="456">
        <v>74000</v>
      </c>
      <c r="J10" s="456">
        <v>63000</v>
      </c>
      <c r="K10" s="458">
        <f>C10/D10-1</f>
        <v>0.15756302521008414</v>
      </c>
    </row>
    <row r="11" spans="1:16" s="150" customFormat="1" x14ac:dyDescent="0.3">
      <c r="B11" s="454"/>
      <c r="C11" s="456"/>
      <c r="D11" s="456"/>
      <c r="E11" s="456"/>
      <c r="F11" s="456"/>
      <c r="G11" s="456"/>
      <c r="H11" s="456"/>
      <c r="I11" s="456"/>
      <c r="J11" s="456"/>
      <c r="K11" s="458"/>
    </row>
    <row r="12" spans="1:16" s="150" customFormat="1" ht="15.6" x14ac:dyDescent="0.3">
      <c r="B12" s="246" t="s">
        <v>532</v>
      </c>
      <c r="C12" s="245" t="s">
        <v>475</v>
      </c>
      <c r="D12" s="245" t="s">
        <v>469</v>
      </c>
      <c r="E12" s="245" t="s">
        <v>468</v>
      </c>
      <c r="F12" s="245" t="s">
        <v>467</v>
      </c>
      <c r="G12" s="245" t="s">
        <v>466</v>
      </c>
      <c r="H12" s="245" t="s">
        <v>465</v>
      </c>
      <c r="I12" s="245" t="s">
        <v>464</v>
      </c>
      <c r="J12" s="245" t="s">
        <v>474</v>
      </c>
      <c r="K12" s="245" t="s">
        <v>556</v>
      </c>
    </row>
    <row r="13" spans="1:16" s="150" customFormat="1" ht="15.6" x14ac:dyDescent="0.3">
      <c r="B13" s="233" t="s">
        <v>858</v>
      </c>
      <c r="C13" s="706">
        <v>4000</v>
      </c>
      <c r="D13" s="244">
        <v>6924</v>
      </c>
      <c r="E13" s="244">
        <v>7000</v>
      </c>
      <c r="F13" s="244">
        <v>9800</v>
      </c>
      <c r="G13" s="244">
        <v>5163.4627216529907</v>
      </c>
      <c r="H13" s="244">
        <v>8269.2475662659999</v>
      </c>
      <c r="I13" s="244">
        <v>17709.776666265996</v>
      </c>
      <c r="J13" s="244">
        <v>10323.034866266</v>
      </c>
      <c r="K13" s="458">
        <f>C13/D13-1</f>
        <v>-0.42229924898902371</v>
      </c>
    </row>
    <row r="14" spans="1:16" s="150" customFormat="1" ht="15.6" x14ac:dyDescent="0.3">
      <c r="B14" s="233" t="s">
        <v>859</v>
      </c>
      <c r="C14" s="706">
        <v>72000</v>
      </c>
      <c r="D14" s="244">
        <v>103914</v>
      </c>
      <c r="E14" s="244">
        <v>84000</v>
      </c>
      <c r="F14" s="244">
        <v>82600</v>
      </c>
      <c r="G14" s="244">
        <v>103296.74419646422</v>
      </c>
      <c r="H14" s="244">
        <v>98303.644278609921</v>
      </c>
      <c r="I14" s="244">
        <v>89113.699328609931</v>
      </c>
      <c r="J14" s="244">
        <v>108953.63705831367</v>
      </c>
      <c r="K14" s="458">
        <f t="shared" ref="K14:K15" si="0">C14/D14-1</f>
        <v>-0.30711934869218782</v>
      </c>
    </row>
    <row r="15" spans="1:16" s="150" customFormat="1" ht="15.6" x14ac:dyDescent="0.3">
      <c r="B15" s="233" t="s">
        <v>860</v>
      </c>
      <c r="C15" s="706">
        <v>76000</v>
      </c>
      <c r="D15" s="244">
        <v>110837</v>
      </c>
      <c r="E15" s="244">
        <v>91000</v>
      </c>
      <c r="F15" s="244">
        <v>92400</v>
      </c>
      <c r="G15" s="244">
        <v>108460.20691811721</v>
      </c>
      <c r="H15" s="244">
        <v>106572.89184487592</v>
      </c>
      <c r="I15" s="244">
        <v>106823.47599487593</v>
      </c>
      <c r="J15" s="244">
        <v>119276.67192457967</v>
      </c>
      <c r="K15" s="458">
        <f t="shared" si="0"/>
        <v>-0.3143083988198887</v>
      </c>
    </row>
    <row r="16" spans="1:16" s="150" customFormat="1" ht="15.6" x14ac:dyDescent="0.3">
      <c r="B16" s="233" t="s">
        <v>531</v>
      </c>
      <c r="J16" s="242"/>
    </row>
    <row r="17" spans="2:18" s="150" customFormat="1" ht="15.6" x14ac:dyDescent="0.3">
      <c r="B17" s="233" t="s">
        <v>135</v>
      </c>
      <c r="J17" s="242"/>
    </row>
    <row r="18" spans="2:18" s="150" customFormat="1" ht="15.6" x14ac:dyDescent="0.3">
      <c r="B18" s="233" t="s">
        <v>530</v>
      </c>
      <c r="J18" s="242"/>
    </row>
    <row r="19" spans="2:18" s="150" customFormat="1" ht="15.6" x14ac:dyDescent="0.3">
      <c r="B19" s="233" t="s">
        <v>203</v>
      </c>
      <c r="J19" s="242"/>
    </row>
    <row r="21" spans="2:18" x14ac:dyDescent="0.3">
      <c r="B21" s="459" t="s">
        <v>328</v>
      </c>
      <c r="C21" s="459"/>
      <c r="D21" s="459"/>
      <c r="E21" s="459"/>
      <c r="F21" s="459"/>
      <c r="G21" s="459"/>
      <c r="H21" s="459"/>
      <c r="I21" s="459"/>
      <c r="J21" s="459"/>
      <c r="K21" s="459"/>
    </row>
    <row r="22" spans="2:18" x14ac:dyDescent="0.3">
      <c r="B22" s="460" t="s">
        <v>529</v>
      </c>
      <c r="C22" s="461"/>
      <c r="D22" s="461"/>
      <c r="E22" s="461"/>
      <c r="F22" s="461"/>
      <c r="G22" s="461"/>
      <c r="H22" s="461"/>
      <c r="I22" s="461"/>
      <c r="J22" s="461"/>
      <c r="K22" s="461"/>
    </row>
    <row r="23" spans="2:18" x14ac:dyDescent="0.3">
      <c r="B23" s="461"/>
      <c r="C23" s="461"/>
      <c r="D23" s="461"/>
      <c r="E23" s="462"/>
      <c r="F23" s="461"/>
      <c r="G23" s="461"/>
      <c r="H23" s="461"/>
      <c r="I23" s="461"/>
      <c r="J23" s="461"/>
      <c r="K23" s="461"/>
      <c r="N23" s="243"/>
      <c r="O23" s="243"/>
      <c r="P23" s="243"/>
      <c r="Q23" s="243"/>
      <c r="R23" s="243"/>
    </row>
    <row r="24" spans="2:18" x14ac:dyDescent="0.3">
      <c r="B24" s="462" t="s">
        <v>427</v>
      </c>
      <c r="C24" s="461"/>
      <c r="D24" s="461"/>
      <c r="E24" s="461"/>
      <c r="F24" s="461"/>
      <c r="G24" s="461"/>
      <c r="H24" s="461"/>
      <c r="I24" s="461"/>
      <c r="J24" s="461"/>
      <c r="K24" s="461"/>
      <c r="N24" s="243"/>
      <c r="O24" s="243"/>
      <c r="P24" s="243"/>
      <c r="Q24" s="243"/>
      <c r="R24" s="243"/>
    </row>
    <row r="25" spans="2:18" ht="45.45" customHeight="1" x14ac:dyDescent="0.3">
      <c r="B25" s="787" t="s">
        <v>528</v>
      </c>
      <c r="C25" s="787"/>
      <c r="D25" s="787"/>
      <c r="E25" s="787"/>
      <c r="F25" s="787"/>
      <c r="G25" s="787"/>
      <c r="H25" s="787"/>
      <c r="I25" s="787"/>
      <c r="J25" s="787"/>
      <c r="K25" s="787"/>
      <c r="N25" s="243"/>
      <c r="O25" s="243"/>
      <c r="P25" s="243"/>
      <c r="Q25" s="243"/>
      <c r="R25" s="243"/>
    </row>
    <row r="26" spans="2:18" x14ac:dyDescent="0.3">
      <c r="B26" s="461"/>
      <c r="C26" s="461"/>
      <c r="D26" s="461"/>
      <c r="E26" s="462"/>
      <c r="F26" s="461"/>
      <c r="G26" s="461"/>
      <c r="H26" s="461"/>
      <c r="I26" s="461"/>
      <c r="J26" s="461"/>
      <c r="K26" s="461"/>
      <c r="N26" s="243"/>
      <c r="O26" s="243"/>
      <c r="P26" s="243"/>
      <c r="Q26" s="243"/>
      <c r="R26" s="243"/>
    </row>
    <row r="27" spans="2:18" x14ac:dyDescent="0.3">
      <c r="B27" s="463" t="s">
        <v>677</v>
      </c>
      <c r="C27" s="267">
        <v>2025</v>
      </c>
      <c r="D27" s="464">
        <v>2024</v>
      </c>
      <c r="E27" s="453" t="s">
        <v>678</v>
      </c>
      <c r="F27" s="461"/>
      <c r="G27" s="461"/>
      <c r="H27" s="461"/>
      <c r="I27" s="461"/>
      <c r="J27" s="461"/>
      <c r="K27" s="461"/>
      <c r="N27" s="243"/>
      <c r="O27" s="243"/>
      <c r="P27" s="243"/>
      <c r="Q27" s="243"/>
      <c r="R27" s="243"/>
    </row>
    <row r="28" spans="2:18" x14ac:dyDescent="0.3">
      <c r="B28" s="465" t="s">
        <v>527</v>
      </c>
      <c r="C28" s="466">
        <v>11</v>
      </c>
      <c r="D28" s="467">
        <v>12.3</v>
      </c>
      <c r="E28" s="468">
        <f>C28/D28-1</f>
        <v>-0.10569105691056913</v>
      </c>
      <c r="F28" s="461"/>
      <c r="G28" s="461"/>
      <c r="H28" s="461"/>
      <c r="I28" s="461"/>
      <c r="J28" s="461"/>
      <c r="K28" s="461"/>
      <c r="N28" s="243"/>
      <c r="O28" s="243"/>
      <c r="P28" s="243"/>
      <c r="Q28" s="243"/>
      <c r="R28" s="243"/>
    </row>
    <row r="29" spans="2:18" x14ac:dyDescent="0.3">
      <c r="B29" s="465" t="s">
        <v>526</v>
      </c>
      <c r="C29" s="468">
        <v>6.0000000000000001E-3</v>
      </c>
      <c r="D29" s="292">
        <v>5.0000000000000001E-3</v>
      </c>
      <c r="E29" s="468">
        <f t="shared" ref="E29:E30" si="1">C29/D29-1</f>
        <v>0.19999999999999996</v>
      </c>
      <c r="F29" s="461"/>
      <c r="G29" s="461"/>
      <c r="H29" s="461"/>
      <c r="I29" s="461"/>
      <c r="J29" s="461"/>
      <c r="K29" s="461"/>
    </row>
    <row r="30" spans="2:18" x14ac:dyDescent="0.3">
      <c r="B30" s="465" t="s">
        <v>525</v>
      </c>
      <c r="C30" s="468">
        <v>2.1999999999999999E-2</v>
      </c>
      <c r="D30" s="468">
        <v>1.6E-2</v>
      </c>
      <c r="E30" s="468">
        <f t="shared" si="1"/>
        <v>0.375</v>
      </c>
      <c r="F30" s="461"/>
      <c r="G30" s="461"/>
      <c r="H30" s="461"/>
      <c r="I30" s="461"/>
      <c r="J30" s="461"/>
      <c r="K30" s="461"/>
    </row>
    <row r="31" spans="2:18" x14ac:dyDescent="0.3">
      <c r="B31" s="461"/>
      <c r="C31" s="461"/>
      <c r="D31" s="461"/>
      <c r="E31" s="461"/>
      <c r="F31" s="461"/>
      <c r="G31" s="461"/>
      <c r="H31" s="461"/>
      <c r="I31" s="461"/>
      <c r="J31" s="461"/>
      <c r="K31" s="461"/>
    </row>
    <row r="32" spans="2:18" x14ac:dyDescent="0.3">
      <c r="B32" s="461"/>
      <c r="C32" s="461"/>
      <c r="D32" s="461"/>
      <c r="E32" s="461"/>
      <c r="F32" s="461"/>
      <c r="G32" s="461"/>
      <c r="H32" s="461"/>
      <c r="I32" s="461"/>
      <c r="J32" s="461"/>
      <c r="K32" s="461"/>
    </row>
    <row r="33" spans="2:11" x14ac:dyDescent="0.3">
      <c r="B33" s="461"/>
      <c r="C33" s="461"/>
      <c r="D33" s="461"/>
      <c r="E33" s="461"/>
      <c r="F33" s="461"/>
      <c r="G33" s="461"/>
      <c r="H33" s="461"/>
      <c r="I33" s="461"/>
      <c r="J33" s="461"/>
      <c r="K33" s="461"/>
    </row>
    <row r="34" spans="2:11" x14ac:dyDescent="0.3">
      <c r="B34" s="459" t="s">
        <v>524</v>
      </c>
      <c r="C34" s="459"/>
      <c r="D34" s="459"/>
      <c r="E34" s="459"/>
      <c r="F34" s="459"/>
      <c r="G34" s="459"/>
      <c r="H34" s="459"/>
      <c r="I34" s="459"/>
      <c r="J34" s="459"/>
      <c r="K34" s="459"/>
    </row>
    <row r="35" spans="2:11" x14ac:dyDescent="0.3">
      <c r="B35" s="460" t="s">
        <v>329</v>
      </c>
      <c r="C35" s="461"/>
      <c r="D35" s="461"/>
      <c r="E35" s="461"/>
      <c r="F35" s="461"/>
      <c r="G35" s="461"/>
      <c r="H35" s="461"/>
      <c r="I35" s="461"/>
      <c r="J35" s="461"/>
      <c r="K35" s="461"/>
    </row>
    <row r="36" spans="2:11" x14ac:dyDescent="0.3">
      <c r="B36" s="461"/>
      <c r="C36" s="461"/>
      <c r="D36" s="461"/>
      <c r="E36" s="461"/>
      <c r="F36" s="461"/>
      <c r="G36" s="461"/>
      <c r="H36" s="461"/>
      <c r="I36" s="461"/>
      <c r="J36" s="461"/>
      <c r="K36" s="461"/>
    </row>
    <row r="37" spans="2:11" x14ac:dyDescent="0.3">
      <c r="B37" s="462" t="s">
        <v>427</v>
      </c>
      <c r="C37" s="461"/>
      <c r="D37" s="461"/>
      <c r="E37" s="461"/>
      <c r="F37" s="461"/>
      <c r="G37" s="461"/>
      <c r="H37" s="461"/>
      <c r="I37" s="461"/>
      <c r="J37" s="461"/>
      <c r="K37" s="461"/>
    </row>
    <row r="38" spans="2:11" ht="14.4" customHeight="1" x14ac:dyDescent="0.3">
      <c r="B38" s="787" t="s">
        <v>523</v>
      </c>
      <c r="C38" s="787"/>
      <c r="D38" s="787"/>
      <c r="E38" s="787"/>
      <c r="F38" s="787"/>
      <c r="G38" s="461"/>
      <c r="H38" s="461"/>
      <c r="I38" s="461"/>
      <c r="J38" s="461"/>
      <c r="K38" s="461"/>
    </row>
    <row r="39" spans="2:11" x14ac:dyDescent="0.3">
      <c r="B39" s="461" t="s">
        <v>522</v>
      </c>
      <c r="C39" s="461"/>
      <c r="D39" s="461"/>
      <c r="E39" s="461"/>
      <c r="F39" s="461"/>
      <c r="G39" s="461"/>
      <c r="H39" s="461"/>
      <c r="I39" s="461"/>
      <c r="J39" s="461"/>
      <c r="K39" s="461"/>
    </row>
    <row r="40" spans="2:11" x14ac:dyDescent="0.3">
      <c r="B40" s="463" t="s">
        <v>679</v>
      </c>
      <c r="C40" s="267">
        <v>2025</v>
      </c>
      <c r="D40" s="464">
        <v>2024</v>
      </c>
      <c r="E40" s="453" t="s">
        <v>678</v>
      </c>
      <c r="F40" s="461"/>
      <c r="G40" s="461"/>
      <c r="H40" s="461"/>
      <c r="I40" s="461"/>
      <c r="J40" s="461"/>
      <c r="K40" s="461"/>
    </row>
    <row r="41" spans="2:11" x14ac:dyDescent="0.3">
      <c r="B41" s="454" t="s">
        <v>330</v>
      </c>
      <c r="C41" s="374">
        <v>1900000</v>
      </c>
      <c r="D41" s="374">
        <v>3900000</v>
      </c>
      <c r="E41" s="468">
        <f>C41/D41-1</f>
        <v>-0.51282051282051277</v>
      </c>
      <c r="F41" s="461"/>
      <c r="G41" s="461"/>
      <c r="H41" s="461"/>
      <c r="I41" s="461"/>
      <c r="J41" s="461"/>
      <c r="K41" s="461"/>
    </row>
    <row r="42" spans="2:11" x14ac:dyDescent="0.3">
      <c r="B42" s="454" t="s">
        <v>461</v>
      </c>
      <c r="C42" s="374">
        <v>2800000</v>
      </c>
      <c r="D42" s="374">
        <v>2300000</v>
      </c>
      <c r="E42" s="468">
        <f>C42/D42-1</f>
        <v>0.21739130434782616</v>
      </c>
      <c r="F42" s="461"/>
      <c r="G42" s="461"/>
      <c r="H42" s="461"/>
      <c r="I42" s="461"/>
      <c r="J42" s="461"/>
      <c r="K42" s="461"/>
    </row>
  </sheetData>
  <mergeCells count="3">
    <mergeCell ref="B25:K25"/>
    <mergeCell ref="B38:F38"/>
    <mergeCell ref="B3:K3"/>
  </mergeCells>
  <phoneticPr fontId="33" type="noConversion"/>
  <hyperlinks>
    <hyperlink ref="A1" location="'Table of Contents'!A1" display="Back to Table of Contents" xr:uid="{21B57060-670D-42A9-A18A-1A64E52D54E3}"/>
  </hyperlinks>
  <pageMargins left="0.7" right="0.7" top="0.78740157499999996" bottom="0.78740157499999996"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F7710-3A8B-4043-90A7-F30FAD546FBD}">
  <dimension ref="A1:J50"/>
  <sheetViews>
    <sheetView showGridLines="0" zoomScale="115" zoomScaleNormal="115" workbookViewId="0">
      <selection activeCell="B3" sqref="B3:J3"/>
    </sheetView>
  </sheetViews>
  <sheetFormatPr baseColWidth="10" defaultColWidth="11.5546875" defaultRowHeight="14.4" x14ac:dyDescent="0.3"/>
  <cols>
    <col min="1" max="1" width="4.77734375" customWidth="1"/>
    <col min="2" max="2" width="28.5546875" customWidth="1"/>
    <col min="3" max="3" width="11.77734375" bestFit="1" customWidth="1"/>
  </cols>
  <sheetData>
    <row r="1" spans="1:10" x14ac:dyDescent="0.3">
      <c r="A1" s="724" t="s">
        <v>883</v>
      </c>
    </row>
    <row r="3" spans="1:10" ht="25.2" x14ac:dyDescent="0.3">
      <c r="B3" s="741" t="s">
        <v>340</v>
      </c>
      <c r="C3" s="741"/>
      <c r="D3" s="741"/>
      <c r="E3" s="741"/>
      <c r="F3" s="741"/>
      <c r="G3" s="741"/>
      <c r="H3" s="741"/>
      <c r="I3" s="741"/>
      <c r="J3" s="741"/>
    </row>
    <row r="5" spans="1:10" x14ac:dyDescent="0.3">
      <c r="B5" s="136" t="s">
        <v>324</v>
      </c>
      <c r="C5" s="136"/>
      <c r="D5" s="136"/>
      <c r="E5" s="136"/>
      <c r="F5" s="136"/>
      <c r="G5" s="136"/>
      <c r="H5" s="136"/>
      <c r="I5" s="136"/>
      <c r="J5" s="136"/>
    </row>
    <row r="21" spans="2:10" ht="172.95" customHeight="1" x14ac:dyDescent="0.3">
      <c r="B21" s="769" t="s">
        <v>325</v>
      </c>
      <c r="C21" s="769"/>
      <c r="D21" s="769"/>
      <c r="E21" s="769"/>
      <c r="F21" s="769"/>
      <c r="G21" s="769"/>
      <c r="H21" s="769"/>
      <c r="I21" s="769"/>
      <c r="J21" s="769"/>
    </row>
    <row r="23" spans="2:10" x14ac:dyDescent="0.3">
      <c r="B23" s="136" t="s">
        <v>287</v>
      </c>
      <c r="C23" s="136"/>
      <c r="D23" s="136"/>
      <c r="E23" s="136"/>
      <c r="F23" s="136"/>
      <c r="G23" s="136"/>
      <c r="H23" s="136"/>
      <c r="I23" s="136"/>
      <c r="J23" s="136"/>
    </row>
    <row r="25" spans="2:10" x14ac:dyDescent="0.3">
      <c r="C25">
        <v>2023</v>
      </c>
      <c r="D25">
        <v>2024</v>
      </c>
      <c r="E25">
        <v>2025</v>
      </c>
    </row>
    <row r="26" spans="2:10" x14ac:dyDescent="0.3">
      <c r="B26" t="s">
        <v>326</v>
      </c>
      <c r="C26" s="127">
        <v>498138</v>
      </c>
      <c r="D26" s="127">
        <v>415400</v>
      </c>
      <c r="E26" s="127">
        <v>758100</v>
      </c>
      <c r="F26" s="146"/>
    </row>
    <row r="29" spans="2:10" ht="70.05" customHeight="1" x14ac:dyDescent="0.3">
      <c r="B29" s="769" t="s">
        <v>327</v>
      </c>
      <c r="C29" s="769"/>
      <c r="D29" s="769"/>
      <c r="E29" s="769"/>
      <c r="F29" s="769"/>
      <c r="G29" s="769"/>
      <c r="H29" s="769"/>
      <c r="I29" s="769"/>
      <c r="J29" s="769"/>
    </row>
    <row r="32" spans="2:10" ht="15.6" x14ac:dyDescent="0.3">
      <c r="B32" s="788" t="s">
        <v>338</v>
      </c>
      <c r="C32" s="789"/>
      <c r="D32" s="789"/>
      <c r="E32" s="789"/>
      <c r="F32" s="789"/>
      <c r="G32" s="789"/>
      <c r="H32" s="789"/>
      <c r="I32" s="789"/>
      <c r="J32" s="789"/>
    </row>
    <row r="34" spans="2:10" ht="15.6" x14ac:dyDescent="0.3">
      <c r="B34" s="93" t="s">
        <v>5</v>
      </c>
      <c r="C34" s="94"/>
      <c r="D34" s="147" t="s">
        <v>464</v>
      </c>
      <c r="E34" s="147" t="s">
        <v>465</v>
      </c>
      <c r="F34" s="147" t="s">
        <v>466</v>
      </c>
      <c r="G34" s="147" t="s">
        <v>467</v>
      </c>
      <c r="H34" s="147" t="s">
        <v>468</v>
      </c>
      <c r="I34" s="147" t="s">
        <v>469</v>
      </c>
      <c r="J34" s="147" t="s">
        <v>475</v>
      </c>
    </row>
    <row r="35" spans="2:10" x14ac:dyDescent="0.3">
      <c r="B35" t="s">
        <v>470</v>
      </c>
      <c r="C35" t="s">
        <v>463</v>
      </c>
      <c r="D35" s="148">
        <v>18569.177299000003</v>
      </c>
      <c r="E35" s="148">
        <v>18552.324299</v>
      </c>
      <c r="F35" s="148">
        <v>18775.618499000004</v>
      </c>
      <c r="G35" s="148">
        <v>19165</v>
      </c>
      <c r="H35" s="148">
        <v>17091</v>
      </c>
      <c r="I35" s="148">
        <v>17083</v>
      </c>
      <c r="J35" s="705">
        <v>17794.888999999999</v>
      </c>
    </row>
    <row r="36" spans="2:10" x14ac:dyDescent="0.3">
      <c r="B36" t="s">
        <v>471</v>
      </c>
      <c r="C36" t="s">
        <v>472</v>
      </c>
      <c r="D36" s="148">
        <v>15486</v>
      </c>
      <c r="E36" s="148">
        <v>15253</v>
      </c>
      <c r="F36" s="148">
        <v>13224</v>
      </c>
      <c r="G36" s="148">
        <v>23747</v>
      </c>
      <c r="H36" s="148">
        <v>7647</v>
      </c>
      <c r="I36" s="148">
        <v>8334</v>
      </c>
      <c r="J36" s="705">
        <v>12075</v>
      </c>
    </row>
    <row r="37" spans="2:10" x14ac:dyDescent="0.3">
      <c r="B37" t="s">
        <v>473</v>
      </c>
      <c r="C37" t="s">
        <v>463</v>
      </c>
      <c r="D37" s="148">
        <v>316.89508199999995</v>
      </c>
      <c r="E37" s="148">
        <v>270.19508199999996</v>
      </c>
      <c r="F37" s="148">
        <v>204.49508199999997</v>
      </c>
      <c r="G37" s="148">
        <v>538</v>
      </c>
      <c r="H37" s="148">
        <v>597.05999999999995</v>
      </c>
      <c r="I37" s="148">
        <v>597</v>
      </c>
      <c r="J37" s="705">
        <v>597.65099999999995</v>
      </c>
    </row>
    <row r="40" spans="2:10" x14ac:dyDescent="0.3">
      <c r="B40" s="136" t="s">
        <v>287</v>
      </c>
      <c r="C40" s="136"/>
      <c r="D40" s="136"/>
      <c r="E40" s="136"/>
      <c r="F40" s="136"/>
      <c r="G40" s="136"/>
      <c r="H40" s="136"/>
      <c r="I40" s="136"/>
      <c r="J40" s="136"/>
    </row>
    <row r="42" spans="2:10" x14ac:dyDescent="0.3">
      <c r="C42">
        <v>2023</v>
      </c>
      <c r="D42">
        <v>2024</v>
      </c>
      <c r="E42">
        <v>2025</v>
      </c>
    </row>
    <row r="43" spans="2:10" x14ac:dyDescent="0.3">
      <c r="B43" t="s">
        <v>326</v>
      </c>
      <c r="C43" s="127">
        <v>498138</v>
      </c>
      <c r="D43" s="127">
        <v>415405</v>
      </c>
      <c r="E43" s="127">
        <v>758086</v>
      </c>
      <c r="F43" s="119"/>
    </row>
    <row r="46" spans="2:10" ht="14.4" customHeight="1" x14ac:dyDescent="0.3">
      <c r="B46" s="790" t="s">
        <v>327</v>
      </c>
      <c r="C46" s="790"/>
      <c r="D46" s="790"/>
      <c r="E46" s="790"/>
      <c r="F46" s="790"/>
      <c r="G46" s="790"/>
      <c r="H46" s="790"/>
      <c r="I46" s="790"/>
      <c r="J46" s="790"/>
    </row>
    <row r="47" spans="2:10" x14ac:dyDescent="0.3">
      <c r="B47" s="790"/>
      <c r="C47" s="790"/>
      <c r="D47" s="790"/>
      <c r="E47" s="790"/>
      <c r="F47" s="790"/>
      <c r="G47" s="790"/>
      <c r="H47" s="790"/>
      <c r="I47" s="790"/>
      <c r="J47" s="790"/>
    </row>
    <row r="48" spans="2:10" x14ac:dyDescent="0.3">
      <c r="B48" s="790"/>
      <c r="C48" s="790"/>
      <c r="D48" s="790"/>
      <c r="E48" s="790"/>
      <c r="F48" s="790"/>
      <c r="G48" s="790"/>
      <c r="H48" s="790"/>
      <c r="I48" s="790"/>
      <c r="J48" s="790"/>
    </row>
    <row r="49" spans="2:10" x14ac:dyDescent="0.3">
      <c r="B49" s="790"/>
      <c r="C49" s="790"/>
      <c r="D49" s="790"/>
      <c r="E49" s="790"/>
      <c r="F49" s="790"/>
      <c r="G49" s="790"/>
      <c r="H49" s="790"/>
      <c r="I49" s="790"/>
      <c r="J49" s="790"/>
    </row>
    <row r="50" spans="2:10" x14ac:dyDescent="0.3">
      <c r="B50" s="2"/>
      <c r="C50" s="2"/>
      <c r="D50" s="2"/>
      <c r="E50" s="2"/>
      <c r="F50" s="2"/>
      <c r="G50" s="2"/>
      <c r="H50" s="2"/>
      <c r="I50" s="2"/>
      <c r="J50" s="2"/>
    </row>
  </sheetData>
  <mergeCells count="5">
    <mergeCell ref="B3:J3"/>
    <mergeCell ref="B21:J21"/>
    <mergeCell ref="B29:J29"/>
    <mergeCell ref="B32:J32"/>
    <mergeCell ref="B46:J49"/>
  </mergeCells>
  <phoneticPr fontId="33" type="noConversion"/>
  <hyperlinks>
    <hyperlink ref="A1" location="'Table of Contents'!A1" display="Back to Table of Contents" xr:uid="{D3C14E5F-5DA6-4398-A5B4-661F171223C8}"/>
  </hyperlinks>
  <pageMargins left="0.7" right="0.7" top="0.78740157499999996" bottom="0.78740157499999996"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D526A-E889-40D8-A07E-709BAE9712A1}">
  <sheetPr>
    <pageSetUpPr fitToPage="1"/>
  </sheetPr>
  <dimension ref="A1:T66"/>
  <sheetViews>
    <sheetView showGridLines="0" zoomScaleNormal="100" workbookViewId="0">
      <selection activeCell="B2" sqref="B2:T2"/>
    </sheetView>
  </sheetViews>
  <sheetFormatPr baseColWidth="10" defaultColWidth="8.44140625" defaultRowHeight="13.8" x14ac:dyDescent="0.25"/>
  <cols>
    <col min="1" max="1" width="4.88671875" style="668" customWidth="1"/>
    <col min="2" max="2" width="48.109375" style="694" customWidth="1"/>
    <col min="3" max="11" width="13.44140625" style="668" customWidth="1"/>
    <col min="12" max="12" width="44.77734375" style="694" customWidth="1"/>
    <col min="13" max="18" width="13.44140625" style="668" customWidth="1"/>
    <col min="19" max="19" width="9.88671875" style="668" bestFit="1" customWidth="1"/>
    <col min="20" max="16384" width="8.44140625" style="668"/>
  </cols>
  <sheetData>
    <row r="1" spans="1:20" ht="14.4" x14ac:dyDescent="0.3">
      <c r="A1" s="724" t="s">
        <v>883</v>
      </c>
    </row>
    <row r="2" spans="1:20" ht="28.2" x14ac:dyDescent="0.25">
      <c r="B2" s="792" t="s">
        <v>245</v>
      </c>
      <c r="C2" s="792"/>
      <c r="D2" s="792"/>
      <c r="E2" s="792"/>
      <c r="F2" s="792"/>
      <c r="G2" s="792"/>
      <c r="H2" s="792"/>
      <c r="I2" s="792"/>
      <c r="J2" s="792"/>
      <c r="K2" s="792"/>
      <c r="L2" s="792"/>
      <c r="M2" s="792"/>
      <c r="N2" s="792"/>
      <c r="O2" s="792"/>
      <c r="P2" s="792"/>
      <c r="Q2" s="792"/>
      <c r="R2" s="792"/>
      <c r="S2" s="792"/>
      <c r="T2" s="792"/>
    </row>
    <row r="4" spans="1:20" ht="18" x14ac:dyDescent="0.35">
      <c r="B4" s="689" t="s">
        <v>710</v>
      </c>
    </row>
    <row r="5" spans="1:20" x14ac:dyDescent="0.25">
      <c r="B5" s="690"/>
      <c r="C5" s="675"/>
      <c r="D5" s="675"/>
    </row>
    <row r="6" spans="1:20" s="695" customFormat="1" ht="21.6" customHeight="1" x14ac:dyDescent="0.3">
      <c r="B6" s="666" t="s">
        <v>711</v>
      </c>
      <c r="C6" s="634">
        <v>2025</v>
      </c>
      <c r="D6" s="634">
        <v>2024</v>
      </c>
      <c r="E6" s="634">
        <v>2023</v>
      </c>
      <c r="F6" s="634" t="s">
        <v>556</v>
      </c>
      <c r="L6" s="697"/>
    </row>
    <row r="7" spans="1:20" x14ac:dyDescent="0.25">
      <c r="B7" s="691" t="s">
        <v>144</v>
      </c>
      <c r="C7" s="633">
        <v>13575</v>
      </c>
      <c r="D7" s="633">
        <v>13601</v>
      </c>
      <c r="E7" s="633">
        <v>13634</v>
      </c>
      <c r="F7" s="669">
        <v>-1.9116241452834526E-3</v>
      </c>
    </row>
    <row r="8" spans="1:20" x14ac:dyDescent="0.25">
      <c r="B8" s="691" t="s">
        <v>147</v>
      </c>
      <c r="C8" s="633">
        <v>1973</v>
      </c>
      <c r="D8" s="633">
        <v>2044</v>
      </c>
      <c r="E8" s="633">
        <v>2252</v>
      </c>
      <c r="F8" s="669">
        <v>-3.4735812133072419E-2</v>
      </c>
    </row>
    <row r="9" spans="1:20" x14ac:dyDescent="0.25">
      <c r="B9" s="690" t="s">
        <v>237</v>
      </c>
      <c r="C9" s="674">
        <v>15548</v>
      </c>
      <c r="D9" s="674">
        <v>15645</v>
      </c>
      <c r="E9" s="674">
        <v>15886</v>
      </c>
      <c r="F9" s="688">
        <v>-6.2000639181847284E-3</v>
      </c>
    </row>
    <row r="10" spans="1:20" x14ac:dyDescent="0.25">
      <c r="B10" s="692"/>
    </row>
    <row r="11" spans="1:20" s="696" customFormat="1" ht="14.4" customHeight="1" x14ac:dyDescent="0.3">
      <c r="B11" s="791" t="s">
        <v>811</v>
      </c>
      <c r="C11" s="665">
        <v>2023</v>
      </c>
      <c r="D11" s="665"/>
      <c r="E11" s="665"/>
      <c r="F11" s="665">
        <v>2024</v>
      </c>
      <c r="G11" s="665"/>
      <c r="H11" s="665"/>
      <c r="I11" s="665">
        <v>2025</v>
      </c>
      <c r="J11" s="665"/>
      <c r="K11" s="665"/>
      <c r="L11" s="698"/>
    </row>
    <row r="12" spans="1:20" s="696" customFormat="1" ht="30" customHeight="1" x14ac:dyDescent="0.3">
      <c r="B12" s="791"/>
      <c r="C12" s="665" t="s">
        <v>144</v>
      </c>
      <c r="D12" s="665" t="s">
        <v>147</v>
      </c>
      <c r="E12" s="665" t="s">
        <v>44</v>
      </c>
      <c r="F12" s="665" t="s">
        <v>144</v>
      </c>
      <c r="G12" s="665" t="s">
        <v>147</v>
      </c>
      <c r="H12" s="665" t="s">
        <v>44</v>
      </c>
      <c r="I12" s="665" t="s">
        <v>144</v>
      </c>
      <c r="J12" s="665" t="s">
        <v>147</v>
      </c>
      <c r="K12" s="665" t="s">
        <v>44</v>
      </c>
      <c r="L12" s="698"/>
    </row>
    <row r="13" spans="1:20" ht="15.6" x14ac:dyDescent="0.3">
      <c r="B13" s="691" t="s">
        <v>242</v>
      </c>
      <c r="C13" s="670">
        <f>C14+C15</f>
        <v>13634</v>
      </c>
      <c r="D13" s="671">
        <f t="shared" ref="D13:E13" si="0">D14+D15</f>
        <v>2252</v>
      </c>
      <c r="E13" s="672">
        <f t="shared" si="0"/>
        <v>15886</v>
      </c>
      <c r="F13" s="648">
        <v>13601</v>
      </c>
      <c r="G13" s="633">
        <v>2044</v>
      </c>
      <c r="H13" s="649">
        <f>SUM(F13:G13)</f>
        <v>15645</v>
      </c>
      <c r="I13" s="648">
        <v>13575</v>
      </c>
      <c r="J13" s="633">
        <v>1973</v>
      </c>
      <c r="K13" s="633">
        <v>15548</v>
      </c>
    </row>
    <row r="14" spans="1:20" x14ac:dyDescent="0.25">
      <c r="B14" s="691" t="s">
        <v>216</v>
      </c>
      <c r="C14" s="648">
        <v>13568</v>
      </c>
      <c r="D14" s="633">
        <v>2091</v>
      </c>
      <c r="E14" s="649">
        <v>15659</v>
      </c>
      <c r="F14" s="648">
        <v>13529</v>
      </c>
      <c r="G14" s="633">
        <v>1892</v>
      </c>
      <c r="H14" s="649">
        <f>SUM(F14:G14)</f>
        <v>15421</v>
      </c>
      <c r="I14" s="648">
        <v>13491</v>
      </c>
      <c r="J14" s="633">
        <v>1825</v>
      </c>
      <c r="K14" s="633">
        <f>SUM(I14:J14)</f>
        <v>15316</v>
      </c>
    </row>
    <row r="15" spans="1:20" x14ac:dyDescent="0.25">
      <c r="B15" s="691" t="s">
        <v>217</v>
      </c>
      <c r="C15" s="648">
        <v>66</v>
      </c>
      <c r="D15" s="633">
        <v>161</v>
      </c>
      <c r="E15" s="649">
        <v>227</v>
      </c>
      <c r="F15" s="648">
        <v>72</v>
      </c>
      <c r="G15" s="633">
        <v>152</v>
      </c>
      <c r="H15" s="649">
        <f>SUM(F15:G15)</f>
        <v>224</v>
      </c>
      <c r="I15" s="648">
        <v>84</v>
      </c>
      <c r="J15" s="633">
        <v>148</v>
      </c>
      <c r="K15" s="633">
        <f>SUM(I15:J15)</f>
        <v>232</v>
      </c>
    </row>
    <row r="16" spans="1:20" x14ac:dyDescent="0.25">
      <c r="B16" s="691" t="s">
        <v>210</v>
      </c>
      <c r="C16" s="648">
        <v>11560</v>
      </c>
      <c r="D16" s="633">
        <v>1725</v>
      </c>
      <c r="E16" s="649">
        <f>SUM(C16:D16)</f>
        <v>13285</v>
      </c>
      <c r="F16" s="648">
        <v>12123</v>
      </c>
      <c r="G16" s="633">
        <v>1663</v>
      </c>
      <c r="H16" s="649">
        <f>SUM(F16:G16)</f>
        <v>13786</v>
      </c>
      <c r="I16" s="648">
        <v>12043</v>
      </c>
      <c r="J16" s="633">
        <v>1571</v>
      </c>
      <c r="K16" s="633">
        <f>SUM(I16:J16)</f>
        <v>13614</v>
      </c>
    </row>
    <row r="17" spans="2:20" x14ac:dyDescent="0.25">
      <c r="B17" s="691" t="s">
        <v>211</v>
      </c>
      <c r="C17" s="648">
        <v>1096</v>
      </c>
      <c r="D17" s="633">
        <v>326</v>
      </c>
      <c r="E17" s="649">
        <f>SUM(C17:D17)</f>
        <v>1422</v>
      </c>
      <c r="F17" s="648">
        <v>1478</v>
      </c>
      <c r="G17" s="633">
        <v>381</v>
      </c>
      <c r="H17" s="649">
        <f>SUM(F17:G17)</f>
        <v>1859</v>
      </c>
      <c r="I17" s="648">
        <v>1532</v>
      </c>
      <c r="J17" s="633">
        <v>402</v>
      </c>
      <c r="K17" s="633">
        <f>SUM(I17:J17)</f>
        <v>1934</v>
      </c>
    </row>
    <row r="21" spans="2:20" s="696" customFormat="1" ht="27.6" x14ac:dyDescent="0.3">
      <c r="B21" s="666" t="s">
        <v>212</v>
      </c>
      <c r="C21" s="641">
        <v>2018</v>
      </c>
      <c r="D21" s="641">
        <v>2019</v>
      </c>
      <c r="E21" s="641">
        <v>2020</v>
      </c>
      <c r="F21" s="641">
        <v>2021</v>
      </c>
      <c r="G21" s="641">
        <v>2022</v>
      </c>
      <c r="H21" s="641">
        <v>2023</v>
      </c>
      <c r="I21" s="634">
        <v>2024</v>
      </c>
      <c r="J21" s="634">
        <v>2025</v>
      </c>
      <c r="L21" s="666" t="s">
        <v>213</v>
      </c>
      <c r="M21" s="641">
        <v>2018</v>
      </c>
      <c r="N21" s="641">
        <v>2019</v>
      </c>
      <c r="O21" s="641">
        <v>2020</v>
      </c>
      <c r="P21" s="641">
        <v>2021</v>
      </c>
      <c r="Q21" s="641">
        <v>2022</v>
      </c>
      <c r="R21" s="641">
        <v>2023</v>
      </c>
      <c r="S21" s="641">
        <v>2024</v>
      </c>
      <c r="T21" s="641">
        <v>2025</v>
      </c>
    </row>
    <row r="22" spans="2:20" x14ac:dyDescent="0.25">
      <c r="B22" s="690" t="s">
        <v>210</v>
      </c>
      <c r="C22" s="633">
        <v>12545</v>
      </c>
      <c r="D22" s="633">
        <v>11991</v>
      </c>
      <c r="E22" s="633">
        <v>10357</v>
      </c>
      <c r="F22" s="633">
        <v>11409</v>
      </c>
      <c r="G22" s="633">
        <v>12248</v>
      </c>
      <c r="H22" s="633">
        <v>13285</v>
      </c>
      <c r="I22" s="633">
        <f>SUM(I23:I24)</f>
        <v>13786</v>
      </c>
      <c r="J22" s="633">
        <v>13614</v>
      </c>
      <c r="L22" s="690" t="s">
        <v>210</v>
      </c>
      <c r="M22" s="676"/>
      <c r="N22" s="676"/>
      <c r="O22" s="675"/>
      <c r="P22" s="675"/>
      <c r="Q22" s="675"/>
      <c r="R22" s="675"/>
      <c r="S22" s="675"/>
      <c r="T22" s="675"/>
    </row>
    <row r="23" spans="2:20" x14ac:dyDescent="0.25">
      <c r="B23" s="691" t="s">
        <v>144</v>
      </c>
      <c r="C23" s="643">
        <v>11248</v>
      </c>
      <c r="D23" s="643">
        <v>10624</v>
      </c>
      <c r="E23" s="633">
        <v>9019</v>
      </c>
      <c r="F23" s="633">
        <v>9948</v>
      </c>
      <c r="G23" s="633">
        <v>10564</v>
      </c>
      <c r="H23" s="633">
        <v>11560</v>
      </c>
      <c r="I23" s="633">
        <v>12123</v>
      </c>
      <c r="J23" s="633">
        <v>12043</v>
      </c>
      <c r="L23" s="691" t="s">
        <v>144</v>
      </c>
      <c r="M23" s="677">
        <v>0.8966121960940614</v>
      </c>
      <c r="N23" s="677">
        <v>0.88</v>
      </c>
      <c r="O23" s="678">
        <v>0.8708120112001545</v>
      </c>
      <c r="P23" s="678">
        <v>0.86</v>
      </c>
      <c r="Q23" s="678">
        <v>0.85</v>
      </c>
      <c r="R23" s="679">
        <v>0.87015430937147153</v>
      </c>
      <c r="S23" s="679">
        <f>I23/$I$22</f>
        <v>0.87937037574350796</v>
      </c>
      <c r="T23" s="679">
        <f>+J23/J22</f>
        <v>0.88460408403114443</v>
      </c>
    </row>
    <row r="24" spans="2:20" ht="14.4" thickBot="1" x14ac:dyDescent="0.3">
      <c r="B24" s="699" t="s">
        <v>147</v>
      </c>
      <c r="C24" s="700">
        <v>1297</v>
      </c>
      <c r="D24" s="701">
        <v>1367</v>
      </c>
      <c r="E24" s="701">
        <v>1338</v>
      </c>
      <c r="F24" s="701">
        <v>1461</v>
      </c>
      <c r="G24" s="700">
        <v>1684</v>
      </c>
      <c r="H24" s="701">
        <v>1725</v>
      </c>
      <c r="I24" s="701">
        <v>1663</v>
      </c>
      <c r="J24" s="701">
        <v>1571</v>
      </c>
      <c r="L24" s="693" t="s">
        <v>147</v>
      </c>
      <c r="M24" s="680">
        <v>0.10338780390593862</v>
      </c>
      <c r="N24" s="681">
        <v>0.12</v>
      </c>
      <c r="O24" s="681">
        <v>0.12918798879984553</v>
      </c>
      <c r="P24" s="681">
        <v>0.14000000000000001</v>
      </c>
      <c r="Q24" s="680">
        <v>0.15</v>
      </c>
      <c r="R24" s="682">
        <v>0.12984569062852841</v>
      </c>
      <c r="S24" s="682">
        <f>I24/$I$22</f>
        <v>0.1206296242564921</v>
      </c>
      <c r="T24" s="682">
        <f>+J24/J22</f>
        <v>0.11539591596885559</v>
      </c>
    </row>
    <row r="25" spans="2:20" ht="14.4" thickTop="1" x14ac:dyDescent="0.25">
      <c r="B25" s="690" t="s">
        <v>211</v>
      </c>
      <c r="C25" s="633">
        <v>1780</v>
      </c>
      <c r="D25" s="633">
        <v>1677</v>
      </c>
      <c r="E25" s="633">
        <v>1707</v>
      </c>
      <c r="F25" s="633">
        <v>1356</v>
      </c>
      <c r="G25" s="633">
        <v>1483</v>
      </c>
      <c r="H25" s="633">
        <v>1422</v>
      </c>
      <c r="I25" s="633">
        <f>SUM(I26:I27)</f>
        <v>1859</v>
      </c>
      <c r="J25" s="633">
        <v>1934</v>
      </c>
      <c r="L25" s="690" t="s">
        <v>211</v>
      </c>
      <c r="M25" s="676"/>
      <c r="N25" s="676"/>
      <c r="O25" s="675"/>
      <c r="P25" s="675"/>
      <c r="Q25" s="675"/>
      <c r="R25" s="675"/>
      <c r="S25" s="675"/>
      <c r="T25" s="675"/>
    </row>
    <row r="26" spans="2:20" x14ac:dyDescent="0.25">
      <c r="B26" s="691" t="s">
        <v>144</v>
      </c>
      <c r="C26" s="643">
        <v>1551</v>
      </c>
      <c r="D26" s="643">
        <v>1453</v>
      </c>
      <c r="E26" s="633">
        <v>1443</v>
      </c>
      <c r="F26" s="633">
        <v>1089</v>
      </c>
      <c r="G26" s="633">
        <v>1157</v>
      </c>
      <c r="H26" s="633">
        <v>1096</v>
      </c>
      <c r="I26" s="633">
        <v>1478</v>
      </c>
      <c r="J26" s="633">
        <v>1532</v>
      </c>
      <c r="L26" s="691" t="s">
        <v>144</v>
      </c>
      <c r="M26" s="679">
        <v>0.87134831460674156</v>
      </c>
      <c r="N26" s="679">
        <v>0.86642814549791292</v>
      </c>
      <c r="O26" s="683">
        <v>0.84534270650263621</v>
      </c>
      <c r="P26" s="683">
        <v>0.80309734513274333</v>
      </c>
      <c r="Q26" s="683">
        <v>0.7801753202966959</v>
      </c>
      <c r="R26" s="683">
        <v>0.77074542897327702</v>
      </c>
      <c r="S26" s="683">
        <f>I26/$I$25</f>
        <v>0.7950511027434104</v>
      </c>
      <c r="T26" s="679">
        <f>+J26/J25</f>
        <v>0.79214064115822125</v>
      </c>
    </row>
    <row r="27" spans="2:20" x14ac:dyDescent="0.25">
      <c r="B27" s="693" t="s">
        <v>147</v>
      </c>
      <c r="C27" s="673">
        <v>229</v>
      </c>
      <c r="D27" s="667">
        <v>224</v>
      </c>
      <c r="E27" s="673">
        <v>264</v>
      </c>
      <c r="F27" s="673">
        <v>267</v>
      </c>
      <c r="G27" s="673">
        <v>326</v>
      </c>
      <c r="H27" s="667">
        <v>326</v>
      </c>
      <c r="I27" s="667">
        <v>381</v>
      </c>
      <c r="J27" s="667">
        <v>402</v>
      </c>
      <c r="L27" s="693" t="s">
        <v>147</v>
      </c>
      <c r="M27" s="682">
        <v>0.12865168539325841</v>
      </c>
      <c r="N27" s="682">
        <v>0.13357185450208706</v>
      </c>
      <c r="O27" s="682">
        <v>0.15465729349736379</v>
      </c>
      <c r="P27" s="682">
        <v>0.19690265486725664</v>
      </c>
      <c r="Q27" s="682">
        <v>0.2198246797033041</v>
      </c>
      <c r="R27" s="682">
        <v>0.22925457102672292</v>
      </c>
      <c r="S27" s="682">
        <f>I27/$I$25</f>
        <v>0.20494889725658957</v>
      </c>
      <c r="T27" s="679">
        <f>+J27/J25</f>
        <v>0.2078593588417787</v>
      </c>
    </row>
    <row r="28" spans="2:20" x14ac:dyDescent="0.25">
      <c r="L28" s="692"/>
    </row>
    <row r="29" spans="2:20" s="696" customFormat="1" ht="27.6" x14ac:dyDescent="0.3">
      <c r="B29" s="666" t="s">
        <v>214</v>
      </c>
      <c r="C29" s="641">
        <v>2018</v>
      </c>
      <c r="D29" s="641">
        <v>2019</v>
      </c>
      <c r="E29" s="641">
        <v>2020</v>
      </c>
      <c r="F29" s="641">
        <v>2021</v>
      </c>
      <c r="G29" s="641">
        <v>2022</v>
      </c>
      <c r="H29" s="641">
        <v>2023</v>
      </c>
      <c r="I29" s="634">
        <v>2024</v>
      </c>
      <c r="J29" s="634">
        <v>2025</v>
      </c>
      <c r="L29" s="666" t="s">
        <v>215</v>
      </c>
      <c r="M29" s="641">
        <v>2018</v>
      </c>
      <c r="N29" s="641">
        <v>2019</v>
      </c>
      <c r="O29" s="641">
        <v>2020</v>
      </c>
      <c r="P29" s="641">
        <v>2021</v>
      </c>
      <c r="Q29" s="641">
        <v>2022</v>
      </c>
      <c r="R29" s="641">
        <v>2023</v>
      </c>
      <c r="S29" s="641">
        <v>2024</v>
      </c>
      <c r="T29" s="641">
        <v>2025</v>
      </c>
    </row>
    <row r="30" spans="2:20" x14ac:dyDescent="0.25">
      <c r="B30" s="690" t="s">
        <v>216</v>
      </c>
      <c r="C30" s="633">
        <v>14079</v>
      </c>
      <c r="D30" s="633">
        <v>13472</v>
      </c>
      <c r="E30" s="633">
        <v>11853</v>
      </c>
      <c r="F30" s="633">
        <v>12542</v>
      </c>
      <c r="G30" s="633">
        <v>13515</v>
      </c>
      <c r="H30" s="633">
        <v>15659</v>
      </c>
      <c r="I30" s="633">
        <f>I31+I32</f>
        <v>15421</v>
      </c>
      <c r="J30" s="633">
        <v>15316</v>
      </c>
      <c r="L30" s="690" t="s">
        <v>216</v>
      </c>
      <c r="M30" s="676"/>
      <c r="N30" s="676"/>
      <c r="O30" s="675"/>
      <c r="P30" s="675"/>
      <c r="Q30" s="675"/>
      <c r="R30" s="675"/>
      <c r="S30" s="675"/>
      <c r="T30" s="675"/>
    </row>
    <row r="31" spans="2:20" x14ac:dyDescent="0.25">
      <c r="B31" s="691" t="s">
        <v>144</v>
      </c>
      <c r="C31" s="643">
        <v>12725</v>
      </c>
      <c r="D31" s="643">
        <v>12039</v>
      </c>
      <c r="E31" s="633">
        <v>10412</v>
      </c>
      <c r="F31" s="633">
        <v>10989</v>
      </c>
      <c r="G31" s="633">
        <v>11662</v>
      </c>
      <c r="H31" s="633">
        <v>13568</v>
      </c>
      <c r="I31" s="633">
        <v>13529</v>
      </c>
      <c r="J31" s="633">
        <v>13491</v>
      </c>
      <c r="L31" s="691" t="s">
        <v>144</v>
      </c>
      <c r="M31" s="683">
        <v>0.90382839690318917</v>
      </c>
      <c r="N31" s="683">
        <v>0.89363123515439435</v>
      </c>
      <c r="O31" s="678">
        <v>0.87842740234539773</v>
      </c>
      <c r="P31" s="679">
        <v>0.87617604847711694</v>
      </c>
      <c r="Q31" s="678">
        <v>0.86289308176100632</v>
      </c>
      <c r="R31" s="679">
        <v>0.86646656874640782</v>
      </c>
      <c r="S31" s="683">
        <f>I31/$I$30</f>
        <v>0.8773101614681279</v>
      </c>
      <c r="T31" s="679">
        <f>+J31/J30</f>
        <v>0.88084356228780358</v>
      </c>
    </row>
    <row r="32" spans="2:20" ht="14.4" thickBot="1" x14ac:dyDescent="0.3">
      <c r="B32" s="699" t="s">
        <v>147</v>
      </c>
      <c r="C32" s="700">
        <v>1354</v>
      </c>
      <c r="D32" s="701">
        <v>1433</v>
      </c>
      <c r="E32" s="701">
        <v>1441</v>
      </c>
      <c r="F32" s="701">
        <v>1553</v>
      </c>
      <c r="G32" s="700">
        <v>1853</v>
      </c>
      <c r="H32" s="701">
        <v>2091</v>
      </c>
      <c r="I32" s="701">
        <v>1892</v>
      </c>
      <c r="J32" s="701">
        <v>1825</v>
      </c>
      <c r="L32" s="693" t="s">
        <v>147</v>
      </c>
      <c r="M32" s="682">
        <v>9.6171603096810859E-2</v>
      </c>
      <c r="N32" s="682">
        <v>0.1063687648456057</v>
      </c>
      <c r="O32" s="681">
        <v>0.12157259765460221</v>
      </c>
      <c r="P32" s="682">
        <v>0.12382395152288311</v>
      </c>
      <c r="Q32" s="680">
        <v>0.13710691823899371</v>
      </c>
      <c r="R32" s="682">
        <v>0.13353343125359218</v>
      </c>
      <c r="S32" s="682">
        <f>I32/$I$30</f>
        <v>0.12268983853187213</v>
      </c>
      <c r="T32" s="682">
        <f>+J32/J30</f>
        <v>0.11915643771219639</v>
      </c>
    </row>
    <row r="33" spans="2:20" ht="14.4" thickTop="1" x14ac:dyDescent="0.25">
      <c r="B33" s="690" t="s">
        <v>217</v>
      </c>
      <c r="C33" s="633">
        <v>246</v>
      </c>
      <c r="D33" s="633">
        <v>206</v>
      </c>
      <c r="E33" s="633">
        <v>211</v>
      </c>
      <c r="F33" s="633">
        <v>223</v>
      </c>
      <c r="G33" s="633">
        <v>216</v>
      </c>
      <c r="H33" s="633">
        <v>227</v>
      </c>
      <c r="I33" s="633">
        <f>I34+I35</f>
        <v>224</v>
      </c>
      <c r="J33" s="633">
        <v>232</v>
      </c>
      <c r="L33" s="690" t="s">
        <v>217</v>
      </c>
      <c r="M33" s="676"/>
      <c r="N33" s="676"/>
      <c r="O33" s="675"/>
      <c r="P33" s="675"/>
      <c r="Q33" s="678"/>
      <c r="R33" s="678"/>
      <c r="S33" s="678"/>
      <c r="T33" s="678"/>
    </row>
    <row r="34" spans="2:20" x14ac:dyDescent="0.25">
      <c r="B34" s="691" t="s">
        <v>144</v>
      </c>
      <c r="C34" s="643">
        <v>74</v>
      </c>
      <c r="D34" s="643">
        <v>38</v>
      </c>
      <c r="E34" s="633">
        <v>50</v>
      </c>
      <c r="F34" s="633">
        <v>48</v>
      </c>
      <c r="G34" s="633">
        <v>59</v>
      </c>
      <c r="H34" s="633">
        <v>66</v>
      </c>
      <c r="I34" s="633">
        <v>72</v>
      </c>
      <c r="J34" s="633">
        <v>84</v>
      </c>
      <c r="L34" s="691" t="s">
        <v>144</v>
      </c>
      <c r="M34" s="683">
        <v>0.30081300813008133</v>
      </c>
      <c r="N34" s="683">
        <v>0.18446601941747573</v>
      </c>
      <c r="O34" s="683">
        <v>0.23696682464454977</v>
      </c>
      <c r="P34" s="683">
        <v>0.21524663677130046</v>
      </c>
      <c r="Q34" s="683">
        <v>0.27314814814814814</v>
      </c>
      <c r="R34" s="683">
        <v>0.29074889867841408</v>
      </c>
      <c r="S34" s="683">
        <f>I34/$I$33</f>
        <v>0.32142857142857145</v>
      </c>
      <c r="T34" s="679">
        <f>+J34/J33</f>
        <v>0.36206896551724138</v>
      </c>
    </row>
    <row r="35" spans="2:20" x14ac:dyDescent="0.25">
      <c r="B35" s="693" t="s">
        <v>147</v>
      </c>
      <c r="C35" s="673">
        <v>172</v>
      </c>
      <c r="D35" s="667">
        <v>168</v>
      </c>
      <c r="E35" s="673">
        <v>161</v>
      </c>
      <c r="F35" s="673">
        <v>175</v>
      </c>
      <c r="G35" s="673">
        <v>157</v>
      </c>
      <c r="H35" s="667">
        <v>161</v>
      </c>
      <c r="I35" s="667">
        <v>152</v>
      </c>
      <c r="J35" s="667">
        <v>148</v>
      </c>
      <c r="L35" s="693" t="s">
        <v>147</v>
      </c>
      <c r="M35" s="682">
        <v>0.69918699186991873</v>
      </c>
      <c r="N35" s="682">
        <v>0.81553398058252424</v>
      </c>
      <c r="O35" s="682">
        <v>0.76303317535545023</v>
      </c>
      <c r="P35" s="682">
        <v>0.7847533632286996</v>
      </c>
      <c r="Q35" s="682">
        <v>0.72685185185185186</v>
      </c>
      <c r="R35" s="682">
        <v>0.70925110132158586</v>
      </c>
      <c r="S35" s="682">
        <f>I35/$I$33</f>
        <v>0.6785714285714286</v>
      </c>
      <c r="T35" s="682">
        <f>+J35/J33</f>
        <v>0.63793103448275867</v>
      </c>
    </row>
    <row r="36" spans="2:20" x14ac:dyDescent="0.25">
      <c r="Q36" s="684"/>
      <c r="R36" s="684"/>
      <c r="S36" s="684"/>
    </row>
    <row r="37" spans="2:20" s="696" customFormat="1" ht="27.6" x14ac:dyDescent="0.3">
      <c r="B37" s="666" t="s">
        <v>219</v>
      </c>
      <c r="C37" s="641">
        <v>2018</v>
      </c>
      <c r="D37" s="641">
        <v>2019</v>
      </c>
      <c r="E37" s="641">
        <v>2020</v>
      </c>
      <c r="F37" s="641">
        <v>2021</v>
      </c>
      <c r="G37" s="641">
        <v>2022</v>
      </c>
      <c r="H37" s="641">
        <v>2023</v>
      </c>
      <c r="I37" s="634">
        <v>2024</v>
      </c>
      <c r="J37" s="634">
        <v>2025</v>
      </c>
      <c r="L37" s="666" t="s">
        <v>220</v>
      </c>
      <c r="M37" s="641">
        <v>2018</v>
      </c>
      <c r="N37" s="641">
        <v>2019</v>
      </c>
      <c r="O37" s="641">
        <v>2020</v>
      </c>
      <c r="P37" s="641">
        <v>2021</v>
      </c>
      <c r="Q37" s="641">
        <v>2022</v>
      </c>
      <c r="R37" s="641">
        <v>2023</v>
      </c>
      <c r="S37" s="641">
        <v>2024</v>
      </c>
      <c r="T37" s="641">
        <v>2025</v>
      </c>
    </row>
    <row r="38" spans="2:20" x14ac:dyDescent="0.25">
      <c r="B38" s="690" t="s">
        <v>160</v>
      </c>
      <c r="C38" s="633">
        <v>2274</v>
      </c>
      <c r="D38" s="633">
        <v>3040</v>
      </c>
      <c r="E38" s="633">
        <v>1468</v>
      </c>
      <c r="F38" s="633">
        <v>2742</v>
      </c>
      <c r="G38" s="633">
        <v>3158</v>
      </c>
      <c r="H38" s="633">
        <v>4952</v>
      </c>
      <c r="I38" s="633">
        <f>SUM(I39:I41)</f>
        <v>2406</v>
      </c>
      <c r="J38" s="633">
        <v>2042</v>
      </c>
      <c r="L38" s="690"/>
      <c r="M38" s="676"/>
      <c r="N38" s="676"/>
      <c r="O38" s="675"/>
      <c r="P38" s="675"/>
      <c r="Q38" s="678"/>
      <c r="R38" s="678"/>
      <c r="S38" s="678"/>
      <c r="T38" s="678"/>
    </row>
    <row r="39" spans="2:20" x14ac:dyDescent="0.25">
      <c r="B39" s="691" t="s">
        <v>150</v>
      </c>
      <c r="C39" s="643">
        <v>1009</v>
      </c>
      <c r="D39" s="643">
        <v>1271</v>
      </c>
      <c r="E39" s="633">
        <v>541</v>
      </c>
      <c r="F39" s="633">
        <v>1019</v>
      </c>
      <c r="G39" s="633">
        <v>1257</v>
      </c>
      <c r="H39" s="633">
        <v>1311</v>
      </c>
      <c r="I39" s="633">
        <v>931</v>
      </c>
      <c r="J39" s="633">
        <v>940</v>
      </c>
      <c r="L39" s="691" t="s">
        <v>150</v>
      </c>
      <c r="M39" s="685">
        <v>0.34</v>
      </c>
      <c r="N39" s="685">
        <v>0.47</v>
      </c>
      <c r="O39" s="683">
        <v>0.26</v>
      </c>
      <c r="P39" s="683">
        <v>0.47</v>
      </c>
      <c r="Q39" s="683">
        <v>0.53200000000000003</v>
      </c>
      <c r="R39" s="678">
        <v>0.51500000000000001</v>
      </c>
      <c r="S39" s="678">
        <f>I39/$I$38</f>
        <v>0.38694929343308393</v>
      </c>
      <c r="T39" s="678">
        <f>+J39/J38</f>
        <v>0.46033300685602352</v>
      </c>
    </row>
    <row r="40" spans="2:20" x14ac:dyDescent="0.25">
      <c r="B40" s="691" t="s">
        <v>218</v>
      </c>
      <c r="C40" s="643">
        <v>1101</v>
      </c>
      <c r="D40" s="643">
        <v>1500</v>
      </c>
      <c r="E40" s="633">
        <v>786</v>
      </c>
      <c r="F40" s="633">
        <v>1528</v>
      </c>
      <c r="G40" s="633">
        <v>1619</v>
      </c>
      <c r="H40" s="633">
        <v>2603</v>
      </c>
      <c r="I40" s="633">
        <v>1214</v>
      </c>
      <c r="J40" s="633">
        <v>927</v>
      </c>
      <c r="L40" s="691" t="s">
        <v>218</v>
      </c>
      <c r="M40" s="686">
        <v>0.13</v>
      </c>
      <c r="N40" s="686">
        <v>0.18</v>
      </c>
      <c r="O40" s="679">
        <v>0.1</v>
      </c>
      <c r="P40" s="679">
        <v>0.19</v>
      </c>
      <c r="Q40" s="679">
        <v>0.185</v>
      </c>
      <c r="R40" s="678">
        <v>0.26500000000000001</v>
      </c>
      <c r="S40" s="678">
        <f>I40/$I$38</f>
        <v>0.5045719035743973</v>
      </c>
      <c r="T40" s="678">
        <f>+J40/J38</f>
        <v>0.45396669931439765</v>
      </c>
    </row>
    <row r="41" spans="2:20" x14ac:dyDescent="0.25">
      <c r="B41" s="693" t="s">
        <v>151</v>
      </c>
      <c r="C41" s="673">
        <v>164</v>
      </c>
      <c r="D41" s="667">
        <v>269</v>
      </c>
      <c r="E41" s="667">
        <v>141</v>
      </c>
      <c r="F41" s="667">
        <v>195</v>
      </c>
      <c r="G41" s="673">
        <v>282</v>
      </c>
      <c r="H41" s="667">
        <v>1038</v>
      </c>
      <c r="I41" s="667">
        <v>261</v>
      </c>
      <c r="J41" s="667">
        <v>175</v>
      </c>
      <c r="L41" s="693" t="s">
        <v>151</v>
      </c>
      <c r="M41" s="687">
        <v>0.06</v>
      </c>
      <c r="N41" s="682">
        <v>0.1</v>
      </c>
      <c r="O41" s="682">
        <v>0.06</v>
      </c>
      <c r="P41" s="682">
        <v>0.08</v>
      </c>
      <c r="Q41" s="687">
        <v>0.108</v>
      </c>
      <c r="R41" s="681">
        <v>0.29499999999999998</v>
      </c>
      <c r="S41" s="681">
        <f>I41/$I$38</f>
        <v>0.10847880299251871</v>
      </c>
      <c r="T41" s="682">
        <f>+J41/J38</f>
        <v>8.5700293829578847E-2</v>
      </c>
    </row>
    <row r="42" spans="2:20" x14ac:dyDescent="0.25">
      <c r="Q42" s="684"/>
      <c r="R42" s="684"/>
      <c r="S42" s="684"/>
      <c r="T42" s="684"/>
    </row>
    <row r="43" spans="2:20" s="696" customFormat="1" ht="27.6" x14ac:dyDescent="0.3">
      <c r="B43" s="666" t="s">
        <v>221</v>
      </c>
      <c r="C43" s="641">
        <v>2018</v>
      </c>
      <c r="D43" s="641">
        <v>2019</v>
      </c>
      <c r="E43" s="641">
        <v>2020</v>
      </c>
      <c r="F43" s="641">
        <v>2021</v>
      </c>
      <c r="G43" s="641">
        <v>2022</v>
      </c>
      <c r="H43" s="641">
        <v>2023</v>
      </c>
      <c r="I43" s="634">
        <v>2024</v>
      </c>
      <c r="J43" s="634">
        <v>2025</v>
      </c>
      <c r="L43" s="666" t="s">
        <v>222</v>
      </c>
      <c r="M43" s="641">
        <v>2018</v>
      </c>
      <c r="N43" s="641">
        <v>2019</v>
      </c>
      <c r="O43" s="641">
        <v>2020</v>
      </c>
      <c r="P43" s="641">
        <v>2021</v>
      </c>
      <c r="Q43" s="641">
        <v>2022</v>
      </c>
      <c r="R43" s="641">
        <v>2023</v>
      </c>
      <c r="S43" s="641">
        <v>2024</v>
      </c>
      <c r="T43" s="641">
        <v>2025</v>
      </c>
    </row>
    <row r="44" spans="2:20" x14ac:dyDescent="0.25">
      <c r="B44" s="690" t="s">
        <v>160</v>
      </c>
      <c r="C44" s="633">
        <v>2274</v>
      </c>
      <c r="D44" s="633">
        <v>3040</v>
      </c>
      <c r="E44" s="633">
        <v>1468</v>
      </c>
      <c r="F44" s="633">
        <v>2742</v>
      </c>
      <c r="G44" s="633">
        <v>3158</v>
      </c>
      <c r="H44" s="633">
        <v>4952</v>
      </c>
      <c r="I44" s="633">
        <f>SUM(I45:I46)</f>
        <v>2406</v>
      </c>
      <c r="J44" s="633">
        <v>2042</v>
      </c>
      <c r="L44" s="690" t="s">
        <v>160</v>
      </c>
      <c r="M44" s="676"/>
      <c r="N44" s="676"/>
      <c r="O44" s="675"/>
      <c r="P44" s="675"/>
      <c r="Q44" s="678"/>
      <c r="R44" s="678"/>
      <c r="S44" s="678"/>
      <c r="T44" s="678"/>
    </row>
    <row r="45" spans="2:20" x14ac:dyDescent="0.25">
      <c r="B45" s="691" t="s">
        <v>144</v>
      </c>
      <c r="C45" s="643">
        <v>1897</v>
      </c>
      <c r="D45" s="643">
        <v>2553</v>
      </c>
      <c r="E45" s="633">
        <v>1190</v>
      </c>
      <c r="F45" s="633">
        <v>2166</v>
      </c>
      <c r="G45" s="633">
        <v>2590</v>
      </c>
      <c r="H45" s="633">
        <v>4258</v>
      </c>
      <c r="I45" s="702">
        <v>1968</v>
      </c>
      <c r="J45" s="633">
        <v>1654</v>
      </c>
      <c r="L45" s="691" t="s">
        <v>144</v>
      </c>
      <c r="M45" s="685">
        <v>0.15</v>
      </c>
      <c r="N45" s="685">
        <v>0.19</v>
      </c>
      <c r="O45" s="683">
        <v>0.11</v>
      </c>
      <c r="P45" s="683">
        <v>0.2</v>
      </c>
      <c r="Q45" s="683">
        <v>0.221</v>
      </c>
      <c r="R45" s="683">
        <v>0.312</v>
      </c>
      <c r="S45" s="679">
        <f>+I45/I44</f>
        <v>0.81795511221945139</v>
      </c>
      <c r="T45" s="679">
        <f>+J45/J44</f>
        <v>0.80999020568070523</v>
      </c>
    </row>
    <row r="46" spans="2:20" x14ac:dyDescent="0.25">
      <c r="B46" s="691" t="s">
        <v>147</v>
      </c>
      <c r="C46" s="643">
        <v>377</v>
      </c>
      <c r="D46" s="643">
        <v>487</v>
      </c>
      <c r="E46" s="633">
        <v>278</v>
      </c>
      <c r="F46" s="633">
        <v>576</v>
      </c>
      <c r="G46" s="633">
        <v>568</v>
      </c>
      <c r="H46" s="633">
        <v>694</v>
      </c>
      <c r="I46" s="702">
        <v>438</v>
      </c>
      <c r="J46" s="633">
        <v>388</v>
      </c>
      <c r="L46" s="693" t="s">
        <v>147</v>
      </c>
      <c r="M46" s="687">
        <v>0.24</v>
      </c>
      <c r="N46" s="682">
        <v>0.28999999999999998</v>
      </c>
      <c r="O46" s="682">
        <v>0.17</v>
      </c>
      <c r="P46" s="682">
        <v>0.33</v>
      </c>
      <c r="Q46" s="687">
        <v>0.28299999999999997</v>
      </c>
      <c r="R46" s="681">
        <v>0.308</v>
      </c>
      <c r="S46" s="681">
        <f>+I46/I44</f>
        <v>0.18204488778054864</v>
      </c>
      <c r="T46" s="681">
        <f>+J46/J44</f>
        <v>0.19000979431929482</v>
      </c>
    </row>
    <row r="47" spans="2:20" x14ac:dyDescent="0.25">
      <c r="Q47" s="684"/>
      <c r="R47" s="684"/>
      <c r="S47" s="684"/>
      <c r="T47" s="684"/>
    </row>
    <row r="48" spans="2:20" s="696" customFormat="1" ht="27.6" x14ac:dyDescent="0.3">
      <c r="B48" s="666" t="s">
        <v>223</v>
      </c>
      <c r="C48" s="641">
        <v>2018</v>
      </c>
      <c r="D48" s="641">
        <v>2019</v>
      </c>
      <c r="E48" s="641">
        <v>2020</v>
      </c>
      <c r="F48" s="641">
        <v>2021</v>
      </c>
      <c r="G48" s="641">
        <v>2022</v>
      </c>
      <c r="H48" s="641">
        <v>2023</v>
      </c>
      <c r="I48" s="634">
        <v>2024</v>
      </c>
      <c r="J48" s="634">
        <v>2025</v>
      </c>
      <c r="L48" s="666" t="s">
        <v>224</v>
      </c>
      <c r="M48" s="641">
        <v>2018</v>
      </c>
      <c r="N48" s="641">
        <v>2019</v>
      </c>
      <c r="O48" s="641">
        <v>2020</v>
      </c>
      <c r="P48" s="641">
        <v>2021</v>
      </c>
      <c r="Q48" s="641">
        <v>2022</v>
      </c>
      <c r="R48" s="641">
        <v>2023</v>
      </c>
      <c r="S48" s="641">
        <v>2024</v>
      </c>
      <c r="T48" s="641">
        <v>2025</v>
      </c>
    </row>
    <row r="49" spans="2:20" x14ac:dyDescent="0.25">
      <c r="B49" s="690" t="s">
        <v>160</v>
      </c>
      <c r="C49" s="633">
        <v>2339</v>
      </c>
      <c r="D49" s="633">
        <v>4009</v>
      </c>
      <c r="E49" s="633">
        <v>3643</v>
      </c>
      <c r="F49" s="633">
        <v>2233</v>
      </c>
      <c r="G49" s="633">
        <v>2468</v>
      </c>
      <c r="H49" s="633">
        <v>3106</v>
      </c>
      <c r="I49" s="633">
        <f>SUM(I50:I52)</f>
        <v>2375</v>
      </c>
      <c r="J49" s="633">
        <f>SUM(J50:J52)</f>
        <v>2657</v>
      </c>
      <c r="L49" s="690"/>
      <c r="M49" s="676"/>
      <c r="N49" s="676"/>
      <c r="O49" s="675"/>
      <c r="P49" s="675"/>
      <c r="Q49" s="678"/>
      <c r="R49" s="678"/>
      <c r="S49" s="678"/>
      <c r="T49" s="678"/>
    </row>
    <row r="50" spans="2:20" x14ac:dyDescent="0.25">
      <c r="B50" s="691" t="s">
        <v>150</v>
      </c>
      <c r="C50" s="643">
        <v>714</v>
      </c>
      <c r="D50" s="643">
        <v>1160</v>
      </c>
      <c r="E50" s="633">
        <v>909</v>
      </c>
      <c r="F50" s="633">
        <v>777</v>
      </c>
      <c r="G50" s="633">
        <v>866</v>
      </c>
      <c r="H50" s="633">
        <v>880</v>
      </c>
      <c r="I50" s="633">
        <v>876</v>
      </c>
      <c r="J50" s="633">
        <v>737</v>
      </c>
      <c r="L50" s="691" t="s">
        <v>150</v>
      </c>
      <c r="M50" s="685">
        <v>0.24</v>
      </c>
      <c r="N50" s="685">
        <v>0.43</v>
      </c>
      <c r="O50" s="683">
        <v>0.44</v>
      </c>
      <c r="P50" s="683">
        <v>0.36</v>
      </c>
      <c r="Q50" s="683">
        <v>0.36599999999999999</v>
      </c>
      <c r="R50" s="678">
        <v>0.34599999999999997</v>
      </c>
      <c r="S50" s="683">
        <f>I50/$I$49</f>
        <v>0.36884210526315792</v>
      </c>
      <c r="T50" s="678">
        <f>+J50/J49</f>
        <v>0.27738050432818967</v>
      </c>
    </row>
    <row r="51" spans="2:20" x14ac:dyDescent="0.25">
      <c r="B51" s="691" t="s">
        <v>218</v>
      </c>
      <c r="C51" s="643">
        <v>1155</v>
      </c>
      <c r="D51" s="643">
        <v>2038</v>
      </c>
      <c r="E51" s="633">
        <v>1885</v>
      </c>
      <c r="F51" s="633">
        <v>1005</v>
      </c>
      <c r="G51" s="633">
        <v>1141</v>
      </c>
      <c r="H51" s="633">
        <v>1609</v>
      </c>
      <c r="I51" s="633">
        <v>1064</v>
      </c>
      <c r="J51" s="633">
        <v>1333</v>
      </c>
      <c r="L51" s="691" t="s">
        <v>218</v>
      </c>
      <c r="M51" s="686">
        <v>0.13</v>
      </c>
      <c r="N51" s="686">
        <v>0.24</v>
      </c>
      <c r="O51" s="679">
        <v>0.25</v>
      </c>
      <c r="P51" s="679">
        <v>0.12</v>
      </c>
      <c r="Q51" s="679">
        <v>0.13</v>
      </c>
      <c r="R51" s="678">
        <v>0.16400000000000001</v>
      </c>
      <c r="S51" s="678">
        <f>I51/$I$49</f>
        <v>0.44800000000000001</v>
      </c>
      <c r="T51" s="678">
        <f>+J51/J49</f>
        <v>0.50169363944298084</v>
      </c>
    </row>
    <row r="52" spans="2:20" x14ac:dyDescent="0.25">
      <c r="B52" s="693" t="s">
        <v>151</v>
      </c>
      <c r="C52" s="673">
        <v>470</v>
      </c>
      <c r="D52" s="667">
        <v>811</v>
      </c>
      <c r="E52" s="667">
        <v>849</v>
      </c>
      <c r="F52" s="667">
        <v>451</v>
      </c>
      <c r="G52" s="673">
        <v>461</v>
      </c>
      <c r="H52" s="667">
        <v>617</v>
      </c>
      <c r="I52" s="667">
        <v>435</v>
      </c>
      <c r="J52" s="667">
        <v>587</v>
      </c>
      <c r="L52" s="693" t="s">
        <v>151</v>
      </c>
      <c r="M52" s="687">
        <v>0.17</v>
      </c>
      <c r="N52" s="682">
        <v>0.31</v>
      </c>
      <c r="O52" s="682">
        <v>0.35</v>
      </c>
      <c r="P52" s="682">
        <v>0.18</v>
      </c>
      <c r="Q52" s="687">
        <v>0.17699999999999999</v>
      </c>
      <c r="R52" s="681">
        <v>0.17499999999999999</v>
      </c>
      <c r="S52" s="681">
        <f>I52/$I$49</f>
        <v>0.1831578947368421</v>
      </c>
      <c r="T52" s="682">
        <f>+J52/J49</f>
        <v>0.22092585622882951</v>
      </c>
    </row>
    <row r="53" spans="2:20" x14ac:dyDescent="0.25">
      <c r="Q53" s="684"/>
      <c r="R53" s="684"/>
      <c r="S53" s="684"/>
      <c r="T53" s="684"/>
    </row>
    <row r="54" spans="2:20" s="696" customFormat="1" ht="27.6" x14ac:dyDescent="0.3">
      <c r="B54" s="666" t="s">
        <v>225</v>
      </c>
      <c r="C54" s="641">
        <v>2018</v>
      </c>
      <c r="D54" s="641">
        <v>2019</v>
      </c>
      <c r="E54" s="641">
        <v>2020</v>
      </c>
      <c r="F54" s="641">
        <v>2021</v>
      </c>
      <c r="G54" s="641">
        <v>2022</v>
      </c>
      <c r="H54" s="641">
        <v>2023</v>
      </c>
      <c r="I54" s="634">
        <v>2024</v>
      </c>
      <c r="J54" s="634">
        <v>2025</v>
      </c>
      <c r="L54" s="666" t="s">
        <v>226</v>
      </c>
      <c r="M54" s="641">
        <v>2018</v>
      </c>
      <c r="N54" s="641">
        <v>2019</v>
      </c>
      <c r="O54" s="641">
        <v>2020</v>
      </c>
      <c r="P54" s="641">
        <v>2021</v>
      </c>
      <c r="Q54" s="641">
        <v>2022</v>
      </c>
      <c r="R54" s="641">
        <v>2023</v>
      </c>
      <c r="S54" s="641">
        <v>2024</v>
      </c>
      <c r="T54" s="641">
        <v>2025</v>
      </c>
    </row>
    <row r="55" spans="2:20" x14ac:dyDescent="0.25">
      <c r="B55" s="690" t="s">
        <v>160</v>
      </c>
      <c r="C55" s="633">
        <v>2339</v>
      </c>
      <c r="D55" s="633">
        <v>4009</v>
      </c>
      <c r="E55" s="633">
        <v>3643</v>
      </c>
      <c r="F55" s="633">
        <v>2233</v>
      </c>
      <c r="G55" s="633">
        <v>2468</v>
      </c>
      <c r="H55" s="633">
        <v>3106</v>
      </c>
      <c r="I55" s="633">
        <f>SUM(I56:I57)</f>
        <v>2375</v>
      </c>
      <c r="J55" s="633">
        <f>SUM(J56:J57)</f>
        <v>2657</v>
      </c>
      <c r="L55" s="690" t="s">
        <v>160</v>
      </c>
      <c r="M55" s="676"/>
      <c r="N55" s="676"/>
      <c r="O55" s="675"/>
      <c r="P55" s="675"/>
      <c r="Q55" s="678"/>
      <c r="R55" s="678"/>
      <c r="S55" s="678"/>
      <c r="T55" s="678"/>
    </row>
    <row r="56" spans="2:20" x14ac:dyDescent="0.25">
      <c r="B56" s="691" t="s">
        <v>144</v>
      </c>
      <c r="C56" s="643">
        <v>2025</v>
      </c>
      <c r="D56" s="643">
        <v>3569</v>
      </c>
      <c r="E56" s="633">
        <v>3244</v>
      </c>
      <c r="F56" s="633">
        <v>1874</v>
      </c>
      <c r="G56" s="633">
        <v>2032</v>
      </c>
      <c r="H56" s="633">
        <v>2633</v>
      </c>
      <c r="I56" s="633">
        <v>1932</v>
      </c>
      <c r="J56" s="633">
        <v>2225</v>
      </c>
      <c r="L56" s="691" t="s">
        <v>144</v>
      </c>
      <c r="M56" s="679">
        <f t="shared" ref="M56:S56" si="1">+C56/C55</f>
        <v>0.86575459598118853</v>
      </c>
      <c r="N56" s="679">
        <f t="shared" si="1"/>
        <v>0.89024694437515595</v>
      </c>
      <c r="O56" s="679">
        <f t="shared" si="1"/>
        <v>0.89047488333790836</v>
      </c>
      <c r="P56" s="679">
        <f t="shared" si="1"/>
        <v>0.83922973578145987</v>
      </c>
      <c r="Q56" s="679">
        <f t="shared" si="1"/>
        <v>0.8233387358184765</v>
      </c>
      <c r="R56" s="679">
        <f t="shared" si="1"/>
        <v>0.84771410173857054</v>
      </c>
      <c r="S56" s="679">
        <f t="shared" si="1"/>
        <v>0.81347368421052635</v>
      </c>
      <c r="T56" s="679">
        <f>+J56/J55</f>
        <v>0.83741061347384271</v>
      </c>
    </row>
    <row r="57" spans="2:20" x14ac:dyDescent="0.25">
      <c r="B57" s="691" t="s">
        <v>147</v>
      </c>
      <c r="C57" s="643">
        <v>314</v>
      </c>
      <c r="D57" s="643">
        <v>440</v>
      </c>
      <c r="E57" s="633">
        <v>399</v>
      </c>
      <c r="F57" s="633">
        <v>359</v>
      </c>
      <c r="G57" s="633">
        <v>436</v>
      </c>
      <c r="H57" s="633">
        <v>473</v>
      </c>
      <c r="I57" s="633">
        <v>443</v>
      </c>
      <c r="J57" s="633">
        <v>432</v>
      </c>
      <c r="L57" s="693" t="s">
        <v>147</v>
      </c>
      <c r="M57" s="681">
        <f t="shared" ref="M57:S57" si="2">+C57/C55</f>
        <v>0.13424540401881147</v>
      </c>
      <c r="N57" s="681">
        <f t="shared" si="2"/>
        <v>0.1097530556248441</v>
      </c>
      <c r="O57" s="681">
        <f t="shared" si="2"/>
        <v>0.10952511666209168</v>
      </c>
      <c r="P57" s="681">
        <f t="shared" si="2"/>
        <v>0.16077026421854007</v>
      </c>
      <c r="Q57" s="681">
        <f t="shared" si="2"/>
        <v>0.1766612641815235</v>
      </c>
      <c r="R57" s="681">
        <f t="shared" si="2"/>
        <v>0.15228589826142949</v>
      </c>
      <c r="S57" s="681">
        <f t="shared" si="2"/>
        <v>0.18652631578947368</v>
      </c>
      <c r="T57" s="681">
        <f>+J57/J55</f>
        <v>0.16258938652615731</v>
      </c>
    </row>
    <row r="58" spans="2:20" x14ac:dyDescent="0.25">
      <c r="Q58" s="684"/>
      <c r="R58" s="684"/>
    </row>
    <row r="59" spans="2:20" s="696" customFormat="1" ht="27.6" x14ac:dyDescent="0.3">
      <c r="B59" s="666" t="s">
        <v>815</v>
      </c>
      <c r="C59" s="641">
        <v>2018</v>
      </c>
      <c r="D59" s="641">
        <v>2019</v>
      </c>
      <c r="E59" s="641">
        <v>2020</v>
      </c>
      <c r="F59" s="641">
        <v>2021</v>
      </c>
      <c r="G59" s="641">
        <v>2022</v>
      </c>
      <c r="H59" s="641">
        <v>2023</v>
      </c>
      <c r="I59" s="634">
        <v>2024</v>
      </c>
      <c r="J59" s="634">
        <v>2025</v>
      </c>
      <c r="K59" s="703"/>
      <c r="L59" s="666" t="s">
        <v>226</v>
      </c>
      <c r="M59" s="641">
        <v>2018</v>
      </c>
      <c r="N59" s="641">
        <v>2019</v>
      </c>
      <c r="O59" s="641">
        <v>2020</v>
      </c>
      <c r="P59" s="641">
        <v>2021</v>
      </c>
      <c r="Q59" s="641">
        <v>2022</v>
      </c>
      <c r="R59" s="641">
        <v>2023</v>
      </c>
      <c r="S59" s="641">
        <v>2024</v>
      </c>
      <c r="T59" s="641">
        <v>2025</v>
      </c>
    </row>
    <row r="60" spans="2:20" x14ac:dyDescent="0.25">
      <c r="B60" s="690" t="s">
        <v>237</v>
      </c>
      <c r="C60" s="633"/>
      <c r="D60" s="633"/>
      <c r="E60" s="633"/>
      <c r="F60" s="633"/>
      <c r="G60" s="633"/>
      <c r="H60" s="633">
        <f>SUM(H61:H64)</f>
        <v>2331</v>
      </c>
      <c r="I60" s="633">
        <f>SUM(I61:I64)</f>
        <v>1851</v>
      </c>
      <c r="J60" s="633">
        <v>2208</v>
      </c>
      <c r="K60" s="702"/>
      <c r="L60" s="690" t="s">
        <v>160</v>
      </c>
      <c r="M60" s="676"/>
      <c r="N60" s="676"/>
      <c r="O60" s="675"/>
      <c r="P60" s="675"/>
      <c r="Q60" s="678"/>
      <c r="R60" s="678"/>
      <c r="S60" s="678"/>
      <c r="T60" s="678"/>
    </row>
    <row r="61" spans="2:20" x14ac:dyDescent="0.25">
      <c r="B61" s="691" t="s">
        <v>377</v>
      </c>
      <c r="C61" s="643"/>
      <c r="D61" s="643"/>
      <c r="E61" s="633"/>
      <c r="F61" s="633"/>
      <c r="G61" s="633"/>
      <c r="H61" s="633">
        <v>30</v>
      </c>
      <c r="I61" s="633">
        <v>21</v>
      </c>
      <c r="J61" s="633">
        <v>25</v>
      </c>
      <c r="K61" s="702"/>
      <c r="L61" s="691" t="s">
        <v>377</v>
      </c>
      <c r="M61" s="685"/>
      <c r="N61" s="685"/>
      <c r="O61" s="683"/>
      <c r="P61" s="683"/>
      <c r="Q61" s="683"/>
      <c r="R61" s="679">
        <f t="shared" ref="R61:S64" si="3">H61/H$60</f>
        <v>1.2870012870012869E-2</v>
      </c>
      <c r="S61" s="679">
        <f t="shared" si="3"/>
        <v>1.1345218800648298E-2</v>
      </c>
      <c r="T61" s="679">
        <f>+J61/$J$60</f>
        <v>1.1322463768115942E-2</v>
      </c>
    </row>
    <row r="62" spans="2:20" x14ac:dyDescent="0.25">
      <c r="B62" s="691" t="s">
        <v>378</v>
      </c>
      <c r="C62" s="643"/>
      <c r="D62" s="643"/>
      <c r="E62" s="633"/>
      <c r="F62" s="633"/>
      <c r="G62" s="633"/>
      <c r="H62" s="633">
        <v>1189</v>
      </c>
      <c r="I62" s="633">
        <v>885</v>
      </c>
      <c r="J62" s="633">
        <v>1240</v>
      </c>
      <c r="K62" s="702"/>
      <c r="L62" s="691" t="s">
        <v>378</v>
      </c>
      <c r="M62" s="686"/>
      <c r="N62" s="686"/>
      <c r="O62" s="679"/>
      <c r="P62" s="679"/>
      <c r="Q62" s="679"/>
      <c r="R62" s="679">
        <f t="shared" si="3"/>
        <v>0.51008151008151004</v>
      </c>
      <c r="S62" s="679">
        <f t="shared" si="3"/>
        <v>0.47811993517017826</v>
      </c>
      <c r="T62" s="679">
        <f t="shared" ref="T62:T64" si="4">+J62/$J$60</f>
        <v>0.56159420289855078</v>
      </c>
    </row>
    <row r="63" spans="2:20" x14ac:dyDescent="0.25">
      <c r="B63" s="691" t="s">
        <v>379</v>
      </c>
      <c r="C63" s="675"/>
      <c r="D63" s="675"/>
      <c r="E63" s="675"/>
      <c r="F63" s="675"/>
      <c r="G63" s="675"/>
      <c r="H63" s="675">
        <v>201</v>
      </c>
      <c r="I63" s="633">
        <v>137</v>
      </c>
      <c r="J63" s="633">
        <v>139</v>
      </c>
      <c r="L63" s="691" t="s">
        <v>379</v>
      </c>
      <c r="M63" s="675"/>
      <c r="N63" s="675"/>
      <c r="O63" s="675"/>
      <c r="P63" s="675"/>
      <c r="Q63" s="675"/>
      <c r="R63" s="679">
        <f t="shared" si="3"/>
        <v>8.6229086229086233E-2</v>
      </c>
      <c r="S63" s="679">
        <f t="shared" si="3"/>
        <v>7.4014046461372232E-2</v>
      </c>
      <c r="T63" s="679">
        <f t="shared" si="4"/>
        <v>6.295289855072464E-2</v>
      </c>
    </row>
    <row r="64" spans="2:20" ht="15" customHeight="1" x14ac:dyDescent="0.25">
      <c r="B64" s="693" t="s">
        <v>380</v>
      </c>
      <c r="C64" s="673"/>
      <c r="D64" s="667"/>
      <c r="E64" s="667"/>
      <c r="F64" s="667"/>
      <c r="G64" s="673"/>
      <c r="H64" s="667">
        <v>911</v>
      </c>
      <c r="I64" s="667">
        <v>808</v>
      </c>
      <c r="J64" s="667">
        <v>804</v>
      </c>
      <c r="L64" s="693" t="s">
        <v>380</v>
      </c>
      <c r="M64" s="687"/>
      <c r="N64" s="682"/>
      <c r="O64" s="682"/>
      <c r="P64" s="682"/>
      <c r="Q64" s="687"/>
      <c r="R64" s="681">
        <f t="shared" si="3"/>
        <v>0.39081939081939082</v>
      </c>
      <c r="S64" s="681">
        <f t="shared" si="3"/>
        <v>0.43652079956780121</v>
      </c>
      <c r="T64" s="681">
        <f t="shared" si="4"/>
        <v>0.3641304347826087</v>
      </c>
    </row>
    <row r="66" ht="15" customHeight="1" x14ac:dyDescent="0.25"/>
  </sheetData>
  <sheetProtection formatCells="0" formatColumns="0" formatRows="0" insertColumns="0" insertRows="0" insertHyperlinks="0" deleteColumns="0" deleteRows="0"/>
  <mergeCells count="2">
    <mergeCell ref="B11:B12"/>
    <mergeCell ref="B2:T2"/>
  </mergeCells>
  <phoneticPr fontId="33" type="noConversion"/>
  <hyperlinks>
    <hyperlink ref="A1" location="'Table of Contents'!A1" display="Back to Table of Contents" xr:uid="{D703ADC8-2715-494C-A92A-1C6E6B0D40AB}"/>
  </hyperlinks>
  <pageMargins left="0.23622047244094491" right="0.23622047244094491" top="0.74803149606299213" bottom="0.74803149606299213" header="0.31496062992125984" footer="0.31496062992125984"/>
  <pageSetup paperSize="9" scale="43" orientation="landscape" r:id="rId1"/>
  <headerFooter>
    <oddHeader>&amp;L&amp;"Calibri"&amp;10&amp;K000000 Sensitivity: Internal&amp;1#_x000D_&amp;"Aptos Narrow"&amp;11&amp;K000000Sustainability Data Pack 2022&amp;CRHI Magnesita&amp;R&amp;G</oddHeader>
    <oddFooter>&amp;R&amp;P/&amp;N</oddFooter>
  </headerFooter>
  <drawing r:id="rId2"/>
  <legacyDrawingHF r:id="rId3"/>
  <pictur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F720A-8F23-45FF-94DD-DDBF3EA62C9A}">
  <sheetPr>
    <pageSetUpPr fitToPage="1"/>
  </sheetPr>
  <dimension ref="A1:O39"/>
  <sheetViews>
    <sheetView showGridLines="0" tabSelected="1" view="pageBreakPreview" zoomScale="67" zoomScaleNormal="50" zoomScaleSheetLayoutView="50" workbookViewId="0">
      <selection sqref="A1:N8"/>
    </sheetView>
  </sheetViews>
  <sheetFormatPr baseColWidth="10" defaultColWidth="8.44140625" defaultRowHeight="14.4" x14ac:dyDescent="0.3"/>
  <cols>
    <col min="14" max="14" width="6.109375" customWidth="1"/>
  </cols>
  <sheetData>
    <row r="1" spans="1:15" ht="14.4" customHeight="1" x14ac:dyDescent="0.3">
      <c r="A1" s="737" t="s">
        <v>476</v>
      </c>
      <c r="B1" s="738"/>
      <c r="C1" s="738"/>
      <c r="D1" s="738"/>
      <c r="E1" s="738"/>
      <c r="F1" s="738"/>
      <c r="G1" s="738"/>
      <c r="H1" s="738"/>
      <c r="I1" s="738"/>
      <c r="J1" s="738"/>
      <c r="K1" s="738"/>
      <c r="L1" s="738"/>
      <c r="M1" s="738"/>
      <c r="N1" s="738"/>
      <c r="O1" s="120"/>
    </row>
    <row r="2" spans="1:15" ht="14.4" customHeight="1" x14ac:dyDescent="0.3">
      <c r="A2" s="738"/>
      <c r="B2" s="738"/>
      <c r="C2" s="738"/>
      <c r="D2" s="738"/>
      <c r="E2" s="738"/>
      <c r="F2" s="738"/>
      <c r="G2" s="738"/>
      <c r="H2" s="738"/>
      <c r="I2" s="738"/>
      <c r="J2" s="738"/>
      <c r="K2" s="738"/>
      <c r="L2" s="738"/>
      <c r="M2" s="738"/>
      <c r="N2" s="738"/>
      <c r="O2" s="120"/>
    </row>
    <row r="3" spans="1:15" ht="14.4" customHeight="1" x14ac:dyDescent="0.3">
      <c r="A3" s="738"/>
      <c r="B3" s="738"/>
      <c r="C3" s="738"/>
      <c r="D3" s="738"/>
      <c r="E3" s="738"/>
      <c r="F3" s="738"/>
      <c r="G3" s="738"/>
      <c r="H3" s="738"/>
      <c r="I3" s="738"/>
      <c r="J3" s="738"/>
      <c r="K3" s="738"/>
      <c r="L3" s="738"/>
      <c r="M3" s="738"/>
      <c r="N3" s="738"/>
      <c r="O3" s="120"/>
    </row>
    <row r="4" spans="1:15" ht="14.4" customHeight="1" x14ac:dyDescent="0.3">
      <c r="A4" s="738"/>
      <c r="B4" s="738"/>
      <c r="C4" s="738"/>
      <c r="D4" s="738"/>
      <c r="E4" s="738"/>
      <c r="F4" s="738"/>
      <c r="G4" s="738"/>
      <c r="H4" s="738"/>
      <c r="I4" s="738"/>
      <c r="J4" s="738"/>
      <c r="K4" s="738"/>
      <c r="L4" s="738"/>
      <c r="M4" s="738"/>
      <c r="N4" s="738"/>
      <c r="O4" s="120"/>
    </row>
    <row r="5" spans="1:15" ht="14.4" customHeight="1" x14ac:dyDescent="0.3">
      <c r="A5" s="738"/>
      <c r="B5" s="738"/>
      <c r="C5" s="738"/>
      <c r="D5" s="738"/>
      <c r="E5" s="738"/>
      <c r="F5" s="738"/>
      <c r="G5" s="738"/>
      <c r="H5" s="738"/>
      <c r="I5" s="738"/>
      <c r="J5" s="738"/>
      <c r="K5" s="738"/>
      <c r="L5" s="738"/>
      <c r="M5" s="738"/>
      <c r="N5" s="738"/>
      <c r="O5" s="120"/>
    </row>
    <row r="6" spans="1:15" ht="14.4" customHeight="1" x14ac:dyDescent="0.3">
      <c r="A6" s="738"/>
      <c r="B6" s="738"/>
      <c r="C6" s="738"/>
      <c r="D6" s="738"/>
      <c r="E6" s="738"/>
      <c r="F6" s="738"/>
      <c r="G6" s="738"/>
      <c r="H6" s="738"/>
      <c r="I6" s="738"/>
      <c r="J6" s="738"/>
      <c r="K6" s="738"/>
      <c r="L6" s="738"/>
      <c r="M6" s="738"/>
      <c r="N6" s="738"/>
      <c r="O6" s="120"/>
    </row>
    <row r="7" spans="1:15" ht="14.4" customHeight="1" x14ac:dyDescent="0.3">
      <c r="A7" s="738"/>
      <c r="B7" s="738"/>
      <c r="C7" s="738"/>
      <c r="D7" s="738"/>
      <c r="E7" s="738"/>
      <c r="F7" s="738"/>
      <c r="G7" s="738"/>
      <c r="H7" s="738"/>
      <c r="I7" s="738"/>
      <c r="J7" s="738"/>
      <c r="K7" s="738"/>
      <c r="L7" s="738"/>
      <c r="M7" s="738"/>
      <c r="N7" s="738"/>
      <c r="O7" s="120"/>
    </row>
    <row r="8" spans="1:15" ht="32.4" customHeight="1" x14ac:dyDescent="0.3">
      <c r="A8" s="738"/>
      <c r="B8" s="738"/>
      <c r="C8" s="738"/>
      <c r="D8" s="738"/>
      <c r="E8" s="738"/>
      <c r="F8" s="738"/>
      <c r="G8" s="738"/>
      <c r="H8" s="738"/>
      <c r="I8" s="738"/>
      <c r="J8" s="738"/>
      <c r="K8" s="738"/>
      <c r="L8" s="738"/>
      <c r="M8" s="738"/>
      <c r="N8" s="738"/>
      <c r="O8" s="120"/>
    </row>
    <row r="9" spans="1:15" ht="50.4" customHeight="1" x14ac:dyDescent="0.3">
      <c r="B9" s="120"/>
      <c r="C9" s="120"/>
      <c r="D9" s="120"/>
      <c r="E9" s="120"/>
      <c r="F9" s="120"/>
      <c r="G9" s="120"/>
      <c r="H9" s="120"/>
      <c r="I9" s="120"/>
      <c r="J9" s="120"/>
      <c r="K9" s="120"/>
      <c r="L9" s="120"/>
      <c r="M9" s="120"/>
      <c r="N9" s="120"/>
      <c r="O9" s="120"/>
    </row>
    <row r="10" spans="1:15" ht="14.4" customHeight="1" x14ac:dyDescent="0.3">
      <c r="B10" s="120"/>
      <c r="C10" s="120"/>
      <c r="D10" s="120"/>
      <c r="E10" s="120"/>
      <c r="F10" s="120"/>
      <c r="G10" s="120"/>
      <c r="H10" s="120"/>
      <c r="I10" s="120"/>
      <c r="J10" s="120"/>
      <c r="K10" s="120"/>
      <c r="L10" s="120"/>
      <c r="M10" s="120"/>
      <c r="N10" s="120"/>
      <c r="O10" s="120"/>
    </row>
    <row r="11" spans="1:15" ht="14.4" customHeight="1" x14ac:dyDescent="0.3">
      <c r="B11" s="120"/>
      <c r="C11" s="120"/>
      <c r="D11" s="120"/>
      <c r="E11" s="120"/>
      <c r="F11" s="120"/>
      <c r="G11" s="120"/>
      <c r="H11" s="120"/>
      <c r="I11" s="120"/>
      <c r="J11" s="120"/>
      <c r="K11" s="120"/>
      <c r="L11" s="120"/>
      <c r="M11" s="120"/>
      <c r="N11" s="120"/>
      <c r="O11" s="120"/>
    </row>
    <row r="12" spans="1:15" ht="14.4" customHeight="1" x14ac:dyDescent="0.3">
      <c r="B12" s="120"/>
      <c r="C12" s="120"/>
      <c r="D12" s="120"/>
      <c r="E12" s="120"/>
      <c r="F12" s="120"/>
      <c r="G12" s="120"/>
      <c r="H12" s="120"/>
      <c r="I12" s="120"/>
      <c r="J12" s="120"/>
      <c r="K12" s="120"/>
      <c r="L12" s="120"/>
      <c r="M12" s="120"/>
      <c r="N12" s="120"/>
      <c r="O12" s="120"/>
    </row>
    <row r="13" spans="1:15" ht="14.4" customHeight="1" x14ac:dyDescent="0.3">
      <c r="B13" s="120"/>
      <c r="C13" s="120"/>
      <c r="D13" s="120"/>
      <c r="E13" s="120"/>
      <c r="F13" s="120"/>
      <c r="G13" s="120"/>
      <c r="H13" s="120"/>
      <c r="I13" s="120"/>
      <c r="J13" s="120"/>
      <c r="K13" s="120"/>
      <c r="L13" s="120"/>
      <c r="M13" s="120"/>
      <c r="N13" s="120"/>
      <c r="O13" s="120"/>
    </row>
    <row r="14" spans="1:15" ht="14.4" customHeight="1" x14ac:dyDescent="0.3">
      <c r="B14" s="120"/>
      <c r="C14" s="120"/>
      <c r="D14" s="120"/>
      <c r="E14" s="120"/>
      <c r="F14" s="120"/>
      <c r="G14" s="120"/>
      <c r="H14" s="120"/>
      <c r="I14" s="120"/>
      <c r="J14" s="120"/>
      <c r="K14" s="120"/>
      <c r="L14" s="120"/>
      <c r="M14" s="120"/>
      <c r="N14" s="120"/>
      <c r="O14" s="120"/>
    </row>
    <row r="15" spans="1:15" ht="14.4" customHeight="1" x14ac:dyDescent="0.3">
      <c r="B15" s="120"/>
      <c r="C15" s="120"/>
      <c r="D15" s="120"/>
      <c r="E15" s="120"/>
      <c r="F15" s="120"/>
      <c r="G15" s="120"/>
      <c r="H15" s="120"/>
      <c r="I15" s="120"/>
      <c r="J15" s="120"/>
      <c r="K15" s="120"/>
      <c r="L15" s="120"/>
      <c r="M15" s="120"/>
      <c r="N15" s="120"/>
      <c r="O15" s="120"/>
    </row>
    <row r="16" spans="1:15" ht="14.4" customHeight="1" x14ac:dyDescent="0.3">
      <c r="B16" s="120"/>
      <c r="C16" s="120"/>
      <c r="D16" s="120"/>
      <c r="E16" s="120"/>
      <c r="F16" s="120"/>
      <c r="G16" s="120"/>
      <c r="H16" s="120"/>
      <c r="I16" s="120"/>
      <c r="J16" s="120"/>
      <c r="K16" s="120"/>
      <c r="L16" s="120"/>
      <c r="M16" s="120"/>
      <c r="N16" s="120"/>
      <c r="O16" s="120"/>
    </row>
    <row r="17" spans="2:15" ht="14.4" customHeight="1" x14ac:dyDescent="0.3">
      <c r="B17" s="120"/>
      <c r="C17" s="120"/>
      <c r="D17" s="120"/>
      <c r="E17" s="120"/>
      <c r="F17" s="120"/>
      <c r="G17" s="120"/>
      <c r="H17" s="120"/>
      <c r="I17" s="120"/>
      <c r="J17" s="120"/>
      <c r="K17" s="120"/>
      <c r="L17" s="120"/>
      <c r="M17" s="120"/>
      <c r="N17" s="120"/>
      <c r="O17" s="120"/>
    </row>
    <row r="18" spans="2:15" ht="14.4" customHeight="1" x14ac:dyDescent="0.3">
      <c r="B18" s="120"/>
      <c r="C18" s="120"/>
      <c r="D18" s="120"/>
      <c r="E18" s="120"/>
      <c r="F18" s="120"/>
      <c r="G18" s="120"/>
      <c r="H18" s="120"/>
      <c r="I18" s="120"/>
      <c r="J18" s="120"/>
      <c r="K18" s="120"/>
      <c r="L18" s="120"/>
      <c r="M18" s="120"/>
      <c r="N18" s="120"/>
      <c r="O18" s="120"/>
    </row>
    <row r="19" spans="2:15" ht="14.4" customHeight="1" x14ac:dyDescent="0.3">
      <c r="B19" s="120"/>
      <c r="C19" s="120"/>
      <c r="D19" s="120"/>
      <c r="E19" s="120"/>
      <c r="F19" s="120"/>
      <c r="G19" s="120"/>
      <c r="H19" s="120"/>
      <c r="I19" s="120"/>
      <c r="J19" s="120"/>
      <c r="K19" s="120"/>
      <c r="L19" s="120"/>
      <c r="M19" s="120"/>
      <c r="N19" s="120"/>
      <c r="O19" s="120"/>
    </row>
    <row r="20" spans="2:15" ht="14.4" customHeight="1" x14ac:dyDescent="0.3">
      <c r="B20" s="120"/>
      <c r="C20" s="120"/>
      <c r="D20" s="120"/>
      <c r="E20" s="120"/>
      <c r="F20" s="120"/>
      <c r="G20" s="120"/>
      <c r="H20" s="120"/>
      <c r="I20" s="120"/>
      <c r="J20" s="120"/>
      <c r="K20" s="120"/>
      <c r="L20" s="120"/>
      <c r="M20" s="120"/>
      <c r="N20" s="120"/>
      <c r="O20" s="120"/>
    </row>
    <row r="21" spans="2:15" ht="14.4" customHeight="1" x14ac:dyDescent="0.3">
      <c r="B21" s="120"/>
      <c r="C21" s="120"/>
      <c r="D21" s="120"/>
      <c r="E21" s="120"/>
      <c r="F21" s="120"/>
      <c r="G21" s="120"/>
      <c r="H21" s="120"/>
      <c r="I21" s="120"/>
      <c r="J21" s="120"/>
      <c r="K21" s="120"/>
      <c r="L21" s="120"/>
      <c r="M21" s="120"/>
      <c r="N21" s="120"/>
      <c r="O21" s="120"/>
    </row>
    <row r="34" spans="1:14" ht="14.4" customHeight="1" x14ac:dyDescent="0.3">
      <c r="A34" s="739" t="s">
        <v>518</v>
      </c>
      <c r="B34" s="739"/>
      <c r="C34" s="739"/>
      <c r="D34" s="739"/>
      <c r="E34" s="739"/>
      <c r="F34" s="739"/>
      <c r="G34" s="739"/>
      <c r="H34" s="739"/>
      <c r="I34" s="739"/>
      <c r="J34" s="739"/>
      <c r="K34" s="739"/>
      <c r="L34" s="739"/>
      <c r="M34" s="739"/>
      <c r="N34" s="739"/>
    </row>
    <row r="35" spans="1:14" x14ac:dyDescent="0.3">
      <c r="A35" s="739"/>
      <c r="B35" s="739"/>
      <c r="C35" s="739"/>
      <c r="D35" s="739"/>
      <c r="E35" s="739"/>
      <c r="F35" s="739"/>
      <c r="G35" s="739"/>
      <c r="H35" s="739"/>
      <c r="I35" s="739"/>
      <c r="J35" s="739"/>
      <c r="K35" s="739"/>
      <c r="L35" s="739"/>
      <c r="M35" s="739"/>
      <c r="N35" s="739"/>
    </row>
    <row r="36" spans="1:14" x14ac:dyDescent="0.3">
      <c r="A36" s="739"/>
      <c r="B36" s="739"/>
      <c r="C36" s="739"/>
      <c r="D36" s="739"/>
      <c r="E36" s="739"/>
      <c r="F36" s="739"/>
      <c r="G36" s="739"/>
      <c r="H36" s="739"/>
      <c r="I36" s="739"/>
      <c r="J36" s="739"/>
      <c r="K36" s="739"/>
      <c r="L36" s="739"/>
      <c r="M36" s="739"/>
      <c r="N36" s="739"/>
    </row>
    <row r="37" spans="1:14" x14ac:dyDescent="0.3">
      <c r="A37" s="739"/>
      <c r="B37" s="739"/>
      <c r="C37" s="739"/>
      <c r="D37" s="739"/>
      <c r="E37" s="739"/>
      <c r="F37" s="739"/>
      <c r="G37" s="739"/>
      <c r="H37" s="739"/>
      <c r="I37" s="739"/>
      <c r="J37" s="739"/>
      <c r="K37" s="739"/>
      <c r="L37" s="739"/>
      <c r="M37" s="739"/>
      <c r="N37" s="739"/>
    </row>
    <row r="38" spans="1:14" x14ac:dyDescent="0.3">
      <c r="A38" s="739"/>
      <c r="B38" s="739"/>
      <c r="C38" s="739"/>
      <c r="D38" s="739"/>
      <c r="E38" s="739"/>
      <c r="F38" s="739"/>
      <c r="G38" s="739"/>
      <c r="H38" s="739"/>
      <c r="I38" s="739"/>
      <c r="J38" s="739"/>
      <c r="K38" s="739"/>
      <c r="L38" s="739"/>
      <c r="M38" s="739"/>
      <c r="N38" s="739"/>
    </row>
    <row r="39" spans="1:14" x14ac:dyDescent="0.3">
      <c r="A39" s="739"/>
      <c r="B39" s="739"/>
      <c r="C39" s="739"/>
      <c r="D39" s="739"/>
      <c r="E39" s="739"/>
      <c r="F39" s="739"/>
      <c r="G39" s="739"/>
      <c r="H39" s="739"/>
      <c r="I39" s="739"/>
      <c r="J39" s="739"/>
      <c r="K39" s="739"/>
      <c r="L39" s="739"/>
      <c r="M39" s="739"/>
      <c r="N39" s="739"/>
    </row>
  </sheetData>
  <sheetProtection formatCells="0" formatColumns="0" formatRows="0" insertColumns="0" insertRows="0" insertHyperlinks="0" deleteColumns="0" deleteRows="0" sort="0" autoFilter="0" pivotTables="0"/>
  <mergeCells count="2">
    <mergeCell ref="A1:N8"/>
    <mergeCell ref="A34:N39"/>
  </mergeCells>
  <pageMargins left="0.7" right="0.7" top="0.75" bottom="0.75" header="0.3" footer="0.3"/>
  <pageSetup paperSize="9" scale="78"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CC251-65F2-4DC8-8321-BD3F9BE7D9C4}">
  <dimension ref="A1:J41"/>
  <sheetViews>
    <sheetView showGridLines="0" workbookViewId="0">
      <selection activeCell="B3" sqref="B3:F3"/>
    </sheetView>
  </sheetViews>
  <sheetFormatPr baseColWidth="10" defaultColWidth="8.88671875" defaultRowHeight="13.8" x14ac:dyDescent="0.25"/>
  <cols>
    <col min="1" max="1" width="4.5546875" style="291" customWidth="1"/>
    <col min="2" max="2" width="30.44140625" style="291" bestFit="1" customWidth="1"/>
    <col min="3" max="3" width="15.109375" style="291" customWidth="1"/>
    <col min="4" max="5" width="13.6640625" style="456" customWidth="1"/>
    <col min="6" max="6" width="11.6640625" style="291" customWidth="1"/>
    <col min="7" max="16384" width="8.88671875" style="291"/>
  </cols>
  <sheetData>
    <row r="1" spans="1:10" ht="14.4" x14ac:dyDescent="0.3">
      <c r="A1" s="724" t="s">
        <v>883</v>
      </c>
    </row>
    <row r="3" spans="1:10" ht="25.2" x14ac:dyDescent="0.25">
      <c r="B3" s="741" t="s">
        <v>887</v>
      </c>
      <c r="C3" s="741"/>
      <c r="D3" s="741"/>
      <c r="E3" s="741"/>
      <c r="F3" s="741"/>
      <c r="G3" s="508"/>
      <c r="H3" s="508"/>
      <c r="I3" s="508"/>
      <c r="J3" s="508"/>
    </row>
    <row r="4" spans="1:10" ht="25.2" x14ac:dyDescent="0.25">
      <c r="B4" s="452"/>
      <c r="C4" s="452"/>
      <c r="D4" s="452"/>
      <c r="E4" s="452"/>
      <c r="F4" s="452"/>
      <c r="G4" s="452"/>
      <c r="H4" s="452"/>
      <c r="I4" s="452"/>
      <c r="J4" s="452"/>
    </row>
    <row r="5" spans="1:10" ht="15.6" x14ac:dyDescent="0.3">
      <c r="B5" s="504" t="s">
        <v>712</v>
      </c>
      <c r="C5" s="485">
        <v>2025</v>
      </c>
      <c r="D5" s="486">
        <v>2024</v>
      </c>
      <c r="E5" s="486">
        <v>2023</v>
      </c>
      <c r="F5" s="507" t="s">
        <v>556</v>
      </c>
    </row>
    <row r="6" spans="1:10" ht="14.4" x14ac:dyDescent="0.3">
      <c r="B6" s="487" t="s">
        <v>373</v>
      </c>
      <c r="C6" s="505">
        <v>152</v>
      </c>
      <c r="D6" s="505">
        <v>166</v>
      </c>
      <c r="E6" s="506">
        <v>166</v>
      </c>
      <c r="F6" s="126">
        <f t="shared" ref="F6:F13" si="0">C6/D6-1</f>
        <v>-8.4337349397590411E-2</v>
      </c>
    </row>
    <row r="7" spans="1:10" ht="14.4" x14ac:dyDescent="0.3">
      <c r="B7" s="488" t="s">
        <v>122</v>
      </c>
      <c r="C7" s="505">
        <v>1638</v>
      </c>
      <c r="D7" s="505">
        <v>1691</v>
      </c>
      <c r="E7" s="506">
        <v>1654</v>
      </c>
      <c r="F7" s="126">
        <f t="shared" si="0"/>
        <v>-3.1342400946185678E-2</v>
      </c>
      <c r="I7" s="456"/>
    </row>
    <row r="8" spans="1:10" ht="14.4" x14ac:dyDescent="0.3">
      <c r="B8" s="488" t="s">
        <v>372</v>
      </c>
      <c r="C8" s="505">
        <v>0</v>
      </c>
      <c r="D8" s="505">
        <v>4</v>
      </c>
      <c r="E8" s="506">
        <v>4</v>
      </c>
      <c r="F8" s="126">
        <f t="shared" si="0"/>
        <v>-1</v>
      </c>
    </row>
    <row r="9" spans="1:10" ht="14.4" x14ac:dyDescent="0.3">
      <c r="B9" s="488" t="s">
        <v>119</v>
      </c>
      <c r="C9" s="505">
        <v>4086</v>
      </c>
      <c r="D9" s="505">
        <v>4098</v>
      </c>
      <c r="E9" s="506">
        <v>4190</v>
      </c>
      <c r="F9" s="126">
        <f t="shared" si="0"/>
        <v>-2.9282576866763721E-3</v>
      </c>
      <c r="I9" s="456"/>
    </row>
    <row r="10" spans="1:10" ht="14.4" x14ac:dyDescent="0.3">
      <c r="B10" s="488" t="s">
        <v>130</v>
      </c>
      <c r="C10" s="505">
        <v>105</v>
      </c>
      <c r="D10" s="505">
        <v>89</v>
      </c>
      <c r="E10" s="506">
        <v>86</v>
      </c>
      <c r="F10" s="126">
        <f t="shared" si="0"/>
        <v>0.1797752808988764</v>
      </c>
    </row>
    <row r="11" spans="1:10" ht="14.4" x14ac:dyDescent="0.3">
      <c r="B11" s="488" t="s">
        <v>371</v>
      </c>
      <c r="C11" s="505">
        <v>23</v>
      </c>
      <c r="D11" s="505">
        <v>29</v>
      </c>
      <c r="E11" s="506">
        <v>126</v>
      </c>
      <c r="F11" s="126">
        <f t="shared" si="0"/>
        <v>-0.2068965517241379</v>
      </c>
    </row>
    <row r="12" spans="1:10" ht="14.4" x14ac:dyDescent="0.3">
      <c r="B12" s="488" t="s">
        <v>124</v>
      </c>
      <c r="C12" s="505">
        <v>1979</v>
      </c>
      <c r="D12" s="505">
        <v>2106</v>
      </c>
      <c r="E12" s="506">
        <v>1698</v>
      </c>
      <c r="F12" s="126">
        <f t="shared" si="0"/>
        <v>-6.0303893637226991E-2</v>
      </c>
      <c r="I12" s="456"/>
    </row>
    <row r="13" spans="1:10" ht="14.4" x14ac:dyDescent="0.3">
      <c r="B13" s="488" t="s">
        <v>370</v>
      </c>
      <c r="C13" s="505">
        <v>92</v>
      </c>
      <c r="D13" s="505">
        <v>95</v>
      </c>
      <c r="E13" s="506">
        <v>88</v>
      </c>
      <c r="F13" s="126">
        <f t="shared" si="0"/>
        <v>-3.157894736842104E-2</v>
      </c>
    </row>
    <row r="14" spans="1:10" ht="14.4" x14ac:dyDescent="0.3">
      <c r="B14" s="488" t="s">
        <v>369</v>
      </c>
      <c r="C14" s="505">
        <v>0</v>
      </c>
      <c r="D14" s="505">
        <v>0</v>
      </c>
      <c r="E14" s="506">
        <v>4</v>
      </c>
      <c r="F14" s="126">
        <v>0</v>
      </c>
    </row>
    <row r="15" spans="1:10" ht="14.4" x14ac:dyDescent="0.3">
      <c r="B15" s="488" t="s">
        <v>368</v>
      </c>
      <c r="C15" s="505">
        <v>620</v>
      </c>
      <c r="D15" s="505">
        <v>626</v>
      </c>
      <c r="E15" s="506">
        <v>663</v>
      </c>
      <c r="F15" s="126">
        <f t="shared" ref="F15:F28" si="1">C15/D15-1</f>
        <v>-9.5846645367412275E-3</v>
      </c>
    </row>
    <row r="16" spans="1:10" ht="14.4" x14ac:dyDescent="0.3">
      <c r="B16" s="488" t="s">
        <v>367</v>
      </c>
      <c r="C16" s="505">
        <v>173</v>
      </c>
      <c r="D16" s="505">
        <v>156</v>
      </c>
      <c r="E16" s="506">
        <v>156</v>
      </c>
      <c r="F16" s="126">
        <f t="shared" si="1"/>
        <v>0.10897435897435903</v>
      </c>
    </row>
    <row r="17" spans="2:9" ht="14.4" x14ac:dyDescent="0.3">
      <c r="B17" s="488" t="s">
        <v>128</v>
      </c>
      <c r="C17" s="505">
        <v>1270</v>
      </c>
      <c r="D17" s="505">
        <v>1508</v>
      </c>
      <c r="E17" s="506">
        <v>1582</v>
      </c>
      <c r="F17" s="126">
        <f t="shared" si="1"/>
        <v>-0.15782493368700268</v>
      </c>
      <c r="I17" s="456"/>
    </row>
    <row r="18" spans="2:9" ht="14.4" x14ac:dyDescent="0.3">
      <c r="B18" s="488" t="s">
        <v>366</v>
      </c>
      <c r="C18" s="505">
        <v>0</v>
      </c>
      <c r="D18" s="505">
        <v>3</v>
      </c>
      <c r="E18" s="506">
        <v>4</v>
      </c>
      <c r="F18" s="126">
        <f t="shared" si="1"/>
        <v>-1</v>
      </c>
    </row>
    <row r="19" spans="2:9" ht="14.4" x14ac:dyDescent="0.3">
      <c r="B19" s="488" t="s">
        <v>121</v>
      </c>
      <c r="C19" s="505">
        <v>2546</v>
      </c>
      <c r="D19" s="505">
        <v>2489</v>
      </c>
      <c r="E19" s="506">
        <v>2566</v>
      </c>
      <c r="F19" s="126">
        <f t="shared" si="1"/>
        <v>2.2900763358778553E-2</v>
      </c>
      <c r="I19" s="456"/>
    </row>
    <row r="20" spans="2:9" ht="14.4" x14ac:dyDescent="0.3">
      <c r="B20" s="488" t="s">
        <v>365</v>
      </c>
      <c r="C20" s="505">
        <v>21</v>
      </c>
      <c r="D20" s="505">
        <v>24</v>
      </c>
      <c r="E20" s="506">
        <v>36</v>
      </c>
      <c r="F20" s="126">
        <f t="shared" si="1"/>
        <v>-0.125</v>
      </c>
    </row>
    <row r="21" spans="2:9" ht="14.4" x14ac:dyDescent="0.3">
      <c r="B21" s="488" t="s">
        <v>129</v>
      </c>
      <c r="C21" s="505">
        <v>443</v>
      </c>
      <c r="D21" s="505">
        <v>470</v>
      </c>
      <c r="E21" s="506">
        <v>505</v>
      </c>
      <c r="F21" s="126">
        <f t="shared" si="1"/>
        <v>-5.7446808510638325E-2</v>
      </c>
    </row>
    <row r="22" spans="2:9" ht="14.4" x14ac:dyDescent="0.3">
      <c r="B22" s="488" t="s">
        <v>364</v>
      </c>
      <c r="C22" s="505">
        <v>96</v>
      </c>
      <c r="D22" s="505">
        <v>111</v>
      </c>
      <c r="E22" s="506">
        <v>116</v>
      </c>
      <c r="F22" s="126">
        <f t="shared" si="1"/>
        <v>-0.13513513513513509</v>
      </c>
    </row>
    <row r="23" spans="2:9" ht="14.4" x14ac:dyDescent="0.3">
      <c r="B23" s="488" t="s">
        <v>363</v>
      </c>
      <c r="C23" s="505">
        <v>33</v>
      </c>
      <c r="D23" s="505">
        <v>31</v>
      </c>
      <c r="E23" s="506">
        <v>30</v>
      </c>
      <c r="F23" s="126">
        <f t="shared" si="1"/>
        <v>6.4516129032258007E-2</v>
      </c>
    </row>
    <row r="24" spans="2:9" ht="14.4" x14ac:dyDescent="0.3">
      <c r="B24" s="488" t="s">
        <v>362</v>
      </c>
      <c r="C24" s="505">
        <v>2</v>
      </c>
      <c r="D24" s="505">
        <v>4</v>
      </c>
      <c r="E24" s="506">
        <v>4</v>
      </c>
      <c r="F24" s="126">
        <f t="shared" si="1"/>
        <v>-0.5</v>
      </c>
    </row>
    <row r="25" spans="2:9" ht="14.4" x14ac:dyDescent="0.3">
      <c r="B25" s="488" t="s">
        <v>361</v>
      </c>
      <c r="C25" s="505">
        <v>54</v>
      </c>
      <c r="D25" s="505">
        <v>58</v>
      </c>
      <c r="E25" s="506">
        <v>61</v>
      </c>
      <c r="F25" s="126">
        <f t="shared" si="1"/>
        <v>-6.8965517241379337E-2</v>
      </c>
    </row>
    <row r="26" spans="2:9" ht="14.4" x14ac:dyDescent="0.3">
      <c r="B26" s="488" t="s">
        <v>360</v>
      </c>
      <c r="C26" s="505">
        <v>34</v>
      </c>
      <c r="D26" s="505">
        <v>37</v>
      </c>
      <c r="E26" s="506">
        <v>37</v>
      </c>
      <c r="F26" s="126">
        <f t="shared" si="1"/>
        <v>-8.108108108108103E-2</v>
      </c>
    </row>
    <row r="27" spans="2:9" ht="14.4" x14ac:dyDescent="0.3">
      <c r="B27" s="488" t="s">
        <v>359</v>
      </c>
      <c r="C27" s="505">
        <v>95</v>
      </c>
      <c r="D27" s="505">
        <v>112</v>
      </c>
      <c r="E27" s="506">
        <v>118</v>
      </c>
      <c r="F27" s="126">
        <f t="shared" si="1"/>
        <v>-0.1517857142857143</v>
      </c>
    </row>
    <row r="28" spans="2:9" ht="14.4" x14ac:dyDescent="0.3">
      <c r="B28" s="488" t="s">
        <v>358</v>
      </c>
      <c r="C28" s="505">
        <v>45</v>
      </c>
      <c r="D28" s="505">
        <v>44</v>
      </c>
      <c r="E28" s="506">
        <v>51</v>
      </c>
      <c r="F28" s="126">
        <f t="shared" si="1"/>
        <v>2.2727272727272707E-2</v>
      </c>
    </row>
    <row r="29" spans="2:9" ht="14.4" x14ac:dyDescent="0.3">
      <c r="B29" s="488" t="s">
        <v>684</v>
      </c>
      <c r="C29" s="505">
        <v>6</v>
      </c>
      <c r="D29" s="505">
        <v>0</v>
      </c>
      <c r="E29" s="506">
        <v>0</v>
      </c>
      <c r="F29" s="126">
        <v>1</v>
      </c>
    </row>
    <row r="30" spans="2:9" ht="14.4" x14ac:dyDescent="0.3">
      <c r="B30" s="488" t="s">
        <v>357</v>
      </c>
      <c r="C30" s="505">
        <v>94</v>
      </c>
      <c r="D30" s="505">
        <v>98</v>
      </c>
      <c r="E30" s="506">
        <v>268</v>
      </c>
      <c r="F30" s="126">
        <f t="shared" ref="F30:F40" si="2">C30/D30-1</f>
        <v>-4.081632653061229E-2</v>
      </c>
    </row>
    <row r="31" spans="2:9" ht="14.4" x14ac:dyDescent="0.3">
      <c r="B31" s="488" t="s">
        <v>356</v>
      </c>
      <c r="C31" s="505">
        <v>40</v>
      </c>
      <c r="D31" s="505">
        <v>42</v>
      </c>
      <c r="E31" s="506">
        <v>45</v>
      </c>
      <c r="F31" s="126">
        <f t="shared" si="2"/>
        <v>-4.7619047619047672E-2</v>
      </c>
    </row>
    <row r="32" spans="2:9" ht="14.4" x14ac:dyDescent="0.3">
      <c r="B32" s="488" t="s">
        <v>355</v>
      </c>
      <c r="C32" s="505">
        <v>93</v>
      </c>
      <c r="D32" s="505">
        <v>102</v>
      </c>
      <c r="E32" s="506">
        <v>99</v>
      </c>
      <c r="F32" s="126">
        <f t="shared" si="2"/>
        <v>-8.8235294117647078E-2</v>
      </c>
    </row>
    <row r="33" spans="2:9" ht="14.4" x14ac:dyDescent="0.3">
      <c r="B33" s="488" t="s">
        <v>354</v>
      </c>
      <c r="C33" s="505">
        <v>11</v>
      </c>
      <c r="D33" s="505">
        <v>10</v>
      </c>
      <c r="E33" s="506">
        <v>10</v>
      </c>
      <c r="F33" s="126">
        <f t="shared" si="2"/>
        <v>0.10000000000000009</v>
      </c>
    </row>
    <row r="34" spans="2:9" ht="14.4" x14ac:dyDescent="0.3">
      <c r="B34" s="488" t="s">
        <v>713</v>
      </c>
      <c r="C34" s="505">
        <v>360</v>
      </c>
      <c r="D34" s="505">
        <v>466</v>
      </c>
      <c r="E34" s="506">
        <v>507</v>
      </c>
      <c r="F34" s="126">
        <f t="shared" si="2"/>
        <v>-0.22746781115879833</v>
      </c>
    </row>
    <row r="35" spans="2:9" ht="14.4" x14ac:dyDescent="0.3">
      <c r="B35" s="488" t="s">
        <v>352</v>
      </c>
      <c r="C35" s="505">
        <v>6</v>
      </c>
      <c r="D35" s="505">
        <v>9</v>
      </c>
      <c r="E35" s="506">
        <v>9</v>
      </c>
      <c r="F35" s="126">
        <f t="shared" si="2"/>
        <v>-0.33333333333333337</v>
      </c>
    </row>
    <row r="36" spans="2:9" ht="14.4" x14ac:dyDescent="0.3">
      <c r="B36" s="488" t="s">
        <v>714</v>
      </c>
      <c r="C36" s="505">
        <v>38</v>
      </c>
      <c r="D36" s="505">
        <v>22</v>
      </c>
      <c r="E36" s="506">
        <v>23</v>
      </c>
      <c r="F36" s="126">
        <f t="shared" si="2"/>
        <v>0.72727272727272729</v>
      </c>
    </row>
    <row r="37" spans="2:9" ht="14.4" x14ac:dyDescent="0.3">
      <c r="B37" s="488" t="s">
        <v>131</v>
      </c>
      <c r="C37" s="505">
        <v>137</v>
      </c>
      <c r="D37" s="505">
        <v>121</v>
      </c>
      <c r="E37" s="506">
        <v>129</v>
      </c>
      <c r="F37" s="126">
        <f t="shared" si="2"/>
        <v>0.13223140495867769</v>
      </c>
    </row>
    <row r="38" spans="2:9" ht="14.4" x14ac:dyDescent="0.3">
      <c r="B38" s="488" t="s">
        <v>351</v>
      </c>
      <c r="C38" s="505">
        <v>1225</v>
      </c>
      <c r="D38" s="505">
        <v>789</v>
      </c>
      <c r="E38" s="506">
        <v>817</v>
      </c>
      <c r="F38" s="126">
        <f t="shared" si="2"/>
        <v>0.55259822560202787</v>
      </c>
    </row>
    <row r="39" spans="2:9" ht="15" thickBot="1" x14ac:dyDescent="0.35">
      <c r="B39" s="488" t="s">
        <v>350</v>
      </c>
      <c r="C39" s="505">
        <v>31</v>
      </c>
      <c r="D39" s="505">
        <v>35</v>
      </c>
      <c r="E39" s="506">
        <v>34</v>
      </c>
      <c r="F39" s="126">
        <f t="shared" si="2"/>
        <v>-0.11428571428571432</v>
      </c>
    </row>
    <row r="40" spans="2:9" ht="14.4" thickBot="1" x14ac:dyDescent="0.3">
      <c r="B40" s="489" t="s">
        <v>237</v>
      </c>
      <c r="C40" s="490">
        <f>SUM(C6:C39)</f>
        <v>15548</v>
      </c>
      <c r="D40" s="490">
        <f>SUM(D6:D39)</f>
        <v>15645</v>
      </c>
      <c r="E40" s="490">
        <f>SUM(E6:E39)</f>
        <v>15886</v>
      </c>
      <c r="F40" s="335">
        <f t="shared" si="2"/>
        <v>-6.2000639181847284E-3</v>
      </c>
      <c r="I40" s="456"/>
    </row>
    <row r="41" spans="2:9" ht="14.4" thickTop="1" x14ac:dyDescent="0.25"/>
  </sheetData>
  <mergeCells count="1">
    <mergeCell ref="B3:F3"/>
  </mergeCells>
  <hyperlinks>
    <hyperlink ref="A1" location="'Table of Contents'!A1" display="Back to Table of Contents" xr:uid="{98223581-C238-4F61-BECC-BC398D690DED}"/>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26495-C285-457C-A0C1-3DB41F11C376}">
  <sheetPr>
    <pageSetUpPr fitToPage="1"/>
  </sheetPr>
  <dimension ref="A1:U44"/>
  <sheetViews>
    <sheetView showGridLines="0" zoomScale="70" zoomScaleNormal="70" workbookViewId="0">
      <selection activeCell="B2" sqref="B2:U2"/>
    </sheetView>
  </sheetViews>
  <sheetFormatPr baseColWidth="10" defaultColWidth="8.44140625" defaultRowHeight="13.8" x14ac:dyDescent="0.25"/>
  <cols>
    <col min="1" max="1" width="4.88671875" style="291" customWidth="1"/>
    <col min="2" max="2" width="44.21875" style="291" customWidth="1"/>
    <col min="3" max="21" width="11.6640625" style="291" customWidth="1"/>
    <col min="22" max="16384" width="8.44140625" style="291"/>
  </cols>
  <sheetData>
    <row r="1" spans="1:21" ht="14.4" x14ac:dyDescent="0.3">
      <c r="A1" s="724" t="s">
        <v>883</v>
      </c>
    </row>
    <row r="2" spans="1:21" ht="32.4" x14ac:dyDescent="0.25">
      <c r="B2" s="804" t="s">
        <v>886</v>
      </c>
      <c r="C2" s="804"/>
      <c r="D2" s="804"/>
      <c r="E2" s="804"/>
      <c r="F2" s="804"/>
      <c r="G2" s="804"/>
      <c r="H2" s="804"/>
      <c r="I2" s="804"/>
      <c r="J2" s="804"/>
      <c r="K2" s="804"/>
      <c r="L2" s="804"/>
      <c r="M2" s="804"/>
      <c r="N2" s="804"/>
      <c r="O2" s="804"/>
      <c r="P2" s="804"/>
      <c r="Q2" s="804"/>
      <c r="R2" s="804"/>
      <c r="S2" s="804"/>
      <c r="T2" s="804"/>
      <c r="U2" s="804"/>
    </row>
    <row r="5" spans="1:21" x14ac:dyDescent="0.25">
      <c r="B5" s="640" t="s">
        <v>810</v>
      </c>
      <c r="C5" s="634">
        <v>2024</v>
      </c>
      <c r="D5" s="634">
        <v>2023</v>
      </c>
    </row>
    <row r="6" spans="1:21" x14ac:dyDescent="0.25">
      <c r="B6" s="491" t="s">
        <v>238</v>
      </c>
      <c r="C6" s="633">
        <v>2191</v>
      </c>
      <c r="D6" s="633">
        <v>1783</v>
      </c>
    </row>
    <row r="7" spans="1:21" x14ac:dyDescent="0.25">
      <c r="B7" s="491" t="s">
        <v>241</v>
      </c>
      <c r="C7" s="633">
        <v>5132</v>
      </c>
      <c r="D7" s="633">
        <v>5455</v>
      </c>
    </row>
    <row r="8" spans="1:21" x14ac:dyDescent="0.25">
      <c r="B8" s="491" t="s">
        <v>349</v>
      </c>
      <c r="C8" s="633">
        <v>2555</v>
      </c>
      <c r="D8" s="633">
        <v>2640</v>
      </c>
    </row>
    <row r="9" spans="1:21" x14ac:dyDescent="0.25">
      <c r="B9" s="491" t="s">
        <v>239</v>
      </c>
      <c r="C9" s="633">
        <v>1348</v>
      </c>
      <c r="D9" s="633">
        <v>1408</v>
      </c>
    </row>
    <row r="10" spans="1:21" x14ac:dyDescent="0.25">
      <c r="B10" s="491" t="s">
        <v>240</v>
      </c>
      <c r="C10" s="633">
        <v>4419</v>
      </c>
      <c r="D10" s="633">
        <v>4600</v>
      </c>
    </row>
    <row r="11" spans="1:21" x14ac:dyDescent="0.25">
      <c r="B11" s="491" t="s">
        <v>237</v>
      </c>
      <c r="C11" s="633">
        <f>SUM(C6:C10)</f>
        <v>15645</v>
      </c>
      <c r="D11" s="633">
        <f>SUM(D6:D10)</f>
        <v>15886</v>
      </c>
    </row>
    <row r="12" spans="1:21" x14ac:dyDescent="0.25">
      <c r="B12" s="502"/>
    </row>
    <row r="13" spans="1:21" ht="15.6" x14ac:dyDescent="0.25">
      <c r="B13" s="640" t="s">
        <v>810</v>
      </c>
      <c r="C13" s="503">
        <v>2025</v>
      </c>
    </row>
    <row r="14" spans="1:21" x14ac:dyDescent="0.25">
      <c r="B14" s="491" t="s">
        <v>254</v>
      </c>
      <c r="C14" s="492">
        <v>2061</v>
      </c>
    </row>
    <row r="15" spans="1:21" x14ac:dyDescent="0.25">
      <c r="B15" s="491" t="s">
        <v>681</v>
      </c>
      <c r="C15" s="492">
        <v>4339</v>
      </c>
    </row>
    <row r="16" spans="1:21" x14ac:dyDescent="0.25">
      <c r="B16" s="491" t="s">
        <v>121</v>
      </c>
      <c r="C16" s="492">
        <v>2546</v>
      </c>
    </row>
    <row r="17" spans="2:11" x14ac:dyDescent="0.25">
      <c r="B17" s="491" t="s">
        <v>127</v>
      </c>
      <c r="C17" s="492">
        <v>1330</v>
      </c>
    </row>
    <row r="18" spans="2:11" x14ac:dyDescent="0.25">
      <c r="B18" s="491" t="s">
        <v>680</v>
      </c>
      <c r="C18" s="492">
        <v>4829</v>
      </c>
    </row>
    <row r="19" spans="2:11" x14ac:dyDescent="0.25">
      <c r="B19" s="491" t="s">
        <v>682</v>
      </c>
      <c r="C19" s="492">
        <v>443</v>
      </c>
    </row>
    <row r="20" spans="2:11" ht="15.6" x14ac:dyDescent="0.3">
      <c r="B20" s="493" t="s">
        <v>237</v>
      </c>
      <c r="C20" s="494">
        <f>SUM(C14:C19)</f>
        <v>15548</v>
      </c>
    </row>
    <row r="21" spans="2:11" ht="15.6" x14ac:dyDescent="0.3">
      <c r="B21" s="493"/>
      <c r="C21" s="494"/>
    </row>
    <row r="22" spans="2:11" ht="15.6" x14ac:dyDescent="0.3">
      <c r="B22" s="493"/>
      <c r="C22" s="494"/>
    </row>
    <row r="23" spans="2:11" ht="16.2" thickBot="1" x14ac:dyDescent="0.35">
      <c r="B23" s="493"/>
      <c r="C23" s="494"/>
    </row>
    <row r="24" spans="2:11" ht="14.4" thickTop="1" x14ac:dyDescent="0.25">
      <c r="B24" s="796" t="s">
        <v>811</v>
      </c>
      <c r="C24" s="798">
        <v>2023</v>
      </c>
      <c r="D24" s="799"/>
      <c r="E24" s="800"/>
      <c r="F24" s="801">
        <v>2024</v>
      </c>
      <c r="G24" s="802"/>
      <c r="H24" s="803"/>
      <c r="I24" s="801">
        <v>2025</v>
      </c>
      <c r="J24" s="802"/>
      <c r="K24" s="803"/>
    </row>
    <row r="25" spans="2:11" ht="30" customHeight="1" x14ac:dyDescent="0.25">
      <c r="B25" s="797"/>
      <c r="C25" s="644" t="s">
        <v>144</v>
      </c>
      <c r="D25" s="634" t="s">
        <v>147</v>
      </c>
      <c r="E25" s="645" t="s">
        <v>44</v>
      </c>
      <c r="F25" s="644" t="s">
        <v>144</v>
      </c>
      <c r="G25" s="634" t="s">
        <v>147</v>
      </c>
      <c r="H25" s="645" t="s">
        <v>44</v>
      </c>
      <c r="I25" s="644" t="s">
        <v>144</v>
      </c>
      <c r="J25" s="634" t="s">
        <v>147</v>
      </c>
      <c r="K25" s="645" t="s">
        <v>44</v>
      </c>
    </row>
    <row r="26" spans="2:11" ht="15.6" x14ac:dyDescent="0.3">
      <c r="B26" s="660" t="s">
        <v>242</v>
      </c>
      <c r="C26" s="650">
        <f>C27+C28</f>
        <v>13634</v>
      </c>
      <c r="D26" s="494">
        <f t="shared" ref="D26:E26" si="0">D27+D28</f>
        <v>2252</v>
      </c>
      <c r="E26" s="651">
        <f t="shared" si="0"/>
        <v>15886</v>
      </c>
      <c r="F26" s="648">
        <v>13601</v>
      </c>
      <c r="G26" s="633">
        <v>2044</v>
      </c>
      <c r="H26" s="649">
        <f>SUM(F26:G26)</f>
        <v>15645</v>
      </c>
      <c r="I26" s="648">
        <v>13575</v>
      </c>
      <c r="J26" s="633">
        <v>1973</v>
      </c>
      <c r="K26" s="649">
        <v>15548</v>
      </c>
    </row>
    <row r="27" spans="2:11" x14ac:dyDescent="0.25">
      <c r="B27" s="660" t="s">
        <v>216</v>
      </c>
      <c r="C27" s="646">
        <v>13568</v>
      </c>
      <c r="D27" s="492">
        <v>2091</v>
      </c>
      <c r="E27" s="647">
        <v>15659</v>
      </c>
      <c r="F27" s="648">
        <v>13529</v>
      </c>
      <c r="G27" s="633">
        <v>1892</v>
      </c>
      <c r="H27" s="649">
        <f>SUM(F27:G27)</f>
        <v>15421</v>
      </c>
      <c r="I27" s="648">
        <v>13491</v>
      </c>
      <c r="J27" s="633">
        <v>1825</v>
      </c>
      <c r="K27" s="649">
        <f>SUM(I27:J27)</f>
        <v>15316</v>
      </c>
    </row>
    <row r="28" spans="2:11" x14ac:dyDescent="0.25">
      <c r="B28" s="660" t="s">
        <v>217</v>
      </c>
      <c r="C28" s="646">
        <v>66</v>
      </c>
      <c r="D28" s="492">
        <v>161</v>
      </c>
      <c r="E28" s="647">
        <v>227</v>
      </c>
      <c r="F28" s="648">
        <v>72</v>
      </c>
      <c r="G28" s="633">
        <v>152</v>
      </c>
      <c r="H28" s="649">
        <f>SUM(F28:G28)</f>
        <v>224</v>
      </c>
      <c r="I28" s="648">
        <v>84</v>
      </c>
      <c r="J28" s="633">
        <v>148</v>
      </c>
      <c r="K28" s="649">
        <f>SUM(I28:J28)</f>
        <v>232</v>
      </c>
    </row>
    <row r="29" spans="2:11" x14ac:dyDescent="0.25">
      <c r="B29" s="660" t="s">
        <v>210</v>
      </c>
      <c r="C29" s="646">
        <v>11560</v>
      </c>
      <c r="D29" s="492">
        <v>1725</v>
      </c>
      <c r="E29" s="647">
        <f>SUM(C29:D29)</f>
        <v>13285</v>
      </c>
      <c r="F29" s="648">
        <v>12123</v>
      </c>
      <c r="G29" s="633">
        <v>1663</v>
      </c>
      <c r="H29" s="649">
        <f>SUM(F29:G29)</f>
        <v>13786</v>
      </c>
      <c r="I29" s="648">
        <v>12043</v>
      </c>
      <c r="J29" s="633">
        <v>1571</v>
      </c>
      <c r="K29" s="649">
        <f>SUM(I29:J29)</f>
        <v>13614</v>
      </c>
    </row>
    <row r="30" spans="2:11" x14ac:dyDescent="0.25">
      <c r="B30" s="660" t="s">
        <v>211</v>
      </c>
      <c r="C30" s="646">
        <v>1096</v>
      </c>
      <c r="D30" s="492">
        <v>326</v>
      </c>
      <c r="E30" s="647">
        <f>SUM(C30:D30)</f>
        <v>1422</v>
      </c>
      <c r="F30" s="648">
        <v>1478</v>
      </c>
      <c r="G30" s="633">
        <v>381</v>
      </c>
      <c r="H30" s="649">
        <f>SUM(F30:G30)</f>
        <v>1859</v>
      </c>
      <c r="I30" s="648">
        <v>1532</v>
      </c>
      <c r="J30" s="633">
        <v>402</v>
      </c>
      <c r="K30" s="649">
        <f>SUM(I30:J30)</f>
        <v>1934</v>
      </c>
    </row>
    <row r="31" spans="2:11" ht="14.4" thickBot="1" x14ac:dyDescent="0.3">
      <c r="B31" s="661" t="s">
        <v>243</v>
      </c>
      <c r="C31" s="662"/>
      <c r="D31" s="663"/>
      <c r="E31" s="664"/>
      <c r="F31" s="662"/>
      <c r="G31" s="663"/>
      <c r="H31" s="664"/>
      <c r="I31" s="662"/>
      <c r="J31" s="663"/>
      <c r="K31" s="664"/>
    </row>
    <row r="32" spans="2:11" ht="14.4" thickTop="1" x14ac:dyDescent="0.25"/>
    <row r="35" spans="2:21" s="495" customFormat="1" ht="16.2" customHeight="1" thickBot="1" x14ac:dyDescent="0.3">
      <c r="B35" s="491"/>
      <c r="C35" s="491"/>
      <c r="D35" s="491"/>
      <c r="E35" s="491"/>
      <c r="F35" s="491"/>
      <c r="G35" s="491"/>
      <c r="H35" s="491"/>
      <c r="I35" s="491"/>
      <c r="J35" s="491"/>
      <c r="K35" s="491"/>
      <c r="L35" s="491"/>
      <c r="M35" s="491"/>
      <c r="N35" s="491"/>
    </row>
    <row r="36" spans="2:21" ht="14.4" customHeight="1" x14ac:dyDescent="0.25">
      <c r="B36" s="810" t="s">
        <v>813</v>
      </c>
      <c r="C36" s="805">
        <v>2023</v>
      </c>
      <c r="D36" s="806"/>
      <c r="E36" s="806"/>
      <c r="F36" s="806"/>
      <c r="G36" s="806"/>
      <c r="H36" s="807"/>
      <c r="I36" s="808">
        <v>2024</v>
      </c>
      <c r="J36" s="809"/>
      <c r="K36" s="809"/>
      <c r="L36" s="809"/>
      <c r="M36" s="809"/>
      <c r="N36" s="809"/>
      <c r="O36" s="812">
        <v>2025</v>
      </c>
      <c r="P36" s="813"/>
      <c r="Q36" s="813"/>
      <c r="R36" s="813"/>
      <c r="S36" s="813"/>
      <c r="T36" s="813"/>
      <c r="U36" s="814"/>
    </row>
    <row r="37" spans="2:21" ht="55.2" x14ac:dyDescent="0.25">
      <c r="B37" s="811"/>
      <c r="C37" s="635" t="s">
        <v>238</v>
      </c>
      <c r="D37" s="636" t="s">
        <v>241</v>
      </c>
      <c r="E37" s="636" t="s">
        <v>349</v>
      </c>
      <c r="F37" s="636" t="s">
        <v>239</v>
      </c>
      <c r="G37" s="636" t="s">
        <v>240</v>
      </c>
      <c r="H37" s="637" t="s">
        <v>44</v>
      </c>
      <c r="I37" s="635" t="s">
        <v>254</v>
      </c>
      <c r="J37" s="636" t="s">
        <v>255</v>
      </c>
      <c r="K37" s="636" t="s">
        <v>256</v>
      </c>
      <c r="L37" s="636" t="s">
        <v>127</v>
      </c>
      <c r="M37" s="636" t="s">
        <v>161</v>
      </c>
      <c r="N37" s="636" t="s">
        <v>44</v>
      </c>
      <c r="O37" s="652" t="s">
        <v>254</v>
      </c>
      <c r="P37" s="636" t="s">
        <v>681</v>
      </c>
      <c r="Q37" s="636" t="s">
        <v>121</v>
      </c>
      <c r="R37" s="636" t="s">
        <v>127</v>
      </c>
      <c r="S37" s="636" t="s">
        <v>680</v>
      </c>
      <c r="T37" s="636" t="s">
        <v>682</v>
      </c>
      <c r="U37" s="653" t="s">
        <v>44</v>
      </c>
    </row>
    <row r="38" spans="2:21" x14ac:dyDescent="0.25">
      <c r="B38" s="498" t="s">
        <v>242</v>
      </c>
      <c r="C38" s="496">
        <v>1783</v>
      </c>
      <c r="D38" s="497">
        <v>5455</v>
      </c>
      <c r="E38" s="497">
        <v>2640</v>
      </c>
      <c r="F38" s="497">
        <v>1408</v>
      </c>
      <c r="G38" s="497">
        <v>4600</v>
      </c>
      <c r="H38" s="638">
        <f>SUM(C38:G38)</f>
        <v>15886</v>
      </c>
      <c r="I38" s="642">
        <v>2191</v>
      </c>
      <c r="J38" s="643">
        <v>5132</v>
      </c>
      <c r="K38" s="643">
        <v>2555</v>
      </c>
      <c r="L38" s="643">
        <v>1348</v>
      </c>
      <c r="M38" s="643">
        <v>4419</v>
      </c>
      <c r="N38" s="643">
        <f>SUM(I38:M38)</f>
        <v>15645</v>
      </c>
      <c r="O38" s="654">
        <v>2061</v>
      </c>
      <c r="P38" s="456">
        <v>4339</v>
      </c>
      <c r="Q38" s="456">
        <v>2546</v>
      </c>
      <c r="R38" s="456">
        <v>1330</v>
      </c>
      <c r="S38" s="456">
        <v>4829</v>
      </c>
      <c r="T38" s="456">
        <v>443</v>
      </c>
      <c r="U38" s="655">
        <f>SUM(O38:T38)</f>
        <v>15548</v>
      </c>
    </row>
    <row r="39" spans="2:21" x14ac:dyDescent="0.25">
      <c r="B39" s="498" t="s">
        <v>216</v>
      </c>
      <c r="C39" s="793" t="s">
        <v>812</v>
      </c>
      <c r="D39" s="794"/>
      <c r="E39" s="794"/>
      <c r="F39" s="794"/>
      <c r="G39" s="794"/>
      <c r="H39" s="795"/>
      <c r="I39" s="642">
        <v>2191</v>
      </c>
      <c r="J39" s="643">
        <v>4920</v>
      </c>
      <c r="K39" s="643">
        <v>2555</v>
      </c>
      <c r="L39" s="643">
        <v>1340</v>
      </c>
      <c r="M39" s="643">
        <v>4415</v>
      </c>
      <c r="N39" s="643">
        <f t="shared" ref="N39:N42" si="1">SUM(I39:M39)</f>
        <v>15421</v>
      </c>
      <c r="O39" s="654">
        <v>1040</v>
      </c>
      <c r="P39" s="456">
        <v>3786</v>
      </c>
      <c r="Q39" s="456">
        <v>2545</v>
      </c>
      <c r="R39" s="456">
        <v>1330</v>
      </c>
      <c r="S39" s="456">
        <v>4475</v>
      </c>
      <c r="T39" s="456">
        <v>438</v>
      </c>
      <c r="U39" s="655">
        <f>SUM(O39:T39)</f>
        <v>13614</v>
      </c>
    </row>
    <row r="40" spans="2:21" x14ac:dyDescent="0.25">
      <c r="B40" s="498" t="s">
        <v>217</v>
      </c>
      <c r="C40" s="793"/>
      <c r="D40" s="794"/>
      <c r="E40" s="794"/>
      <c r="F40" s="794"/>
      <c r="G40" s="794"/>
      <c r="H40" s="795"/>
      <c r="I40" s="642"/>
      <c r="J40" s="643">
        <v>212</v>
      </c>
      <c r="K40" s="643"/>
      <c r="L40" s="643">
        <v>8</v>
      </c>
      <c r="M40" s="643">
        <v>4</v>
      </c>
      <c r="N40" s="643">
        <f t="shared" si="1"/>
        <v>224</v>
      </c>
      <c r="O40" s="654">
        <v>1021</v>
      </c>
      <c r="P40" s="456">
        <v>553</v>
      </c>
      <c r="Q40" s="456">
        <v>1</v>
      </c>
      <c r="R40" s="456">
        <v>0</v>
      </c>
      <c r="S40" s="456">
        <v>354</v>
      </c>
      <c r="T40" s="456">
        <v>5</v>
      </c>
      <c r="U40" s="655">
        <f>SUM(O40:T40)</f>
        <v>1934</v>
      </c>
    </row>
    <row r="41" spans="2:21" x14ac:dyDescent="0.25">
      <c r="B41" s="498" t="s">
        <v>210</v>
      </c>
      <c r="C41" s="496">
        <v>3652</v>
      </c>
      <c r="D41" s="497">
        <f>172+3175</f>
        <v>3347</v>
      </c>
      <c r="E41" s="497">
        <f>48+508</f>
        <v>556</v>
      </c>
      <c r="F41" s="497">
        <v>1320</v>
      </c>
      <c r="G41" s="497">
        <v>4410</v>
      </c>
      <c r="H41" s="638">
        <f>SUM(C41:G41)</f>
        <v>13285</v>
      </c>
      <c r="I41" s="642">
        <v>1081</v>
      </c>
      <c r="J41" s="643">
        <v>4577</v>
      </c>
      <c r="K41" s="643">
        <v>2551</v>
      </c>
      <c r="L41" s="643">
        <v>1250</v>
      </c>
      <c r="M41" s="643">
        <v>4327</v>
      </c>
      <c r="N41" s="643">
        <f t="shared" si="1"/>
        <v>13786</v>
      </c>
      <c r="O41" s="654">
        <v>2060</v>
      </c>
      <c r="P41" s="456">
        <v>4132</v>
      </c>
      <c r="Q41" s="456">
        <v>2546</v>
      </c>
      <c r="R41" s="456">
        <v>1329</v>
      </c>
      <c r="S41" s="456">
        <v>4809</v>
      </c>
      <c r="T41" s="456">
        <v>440</v>
      </c>
      <c r="U41" s="655">
        <f>SUM(O41:T41)</f>
        <v>15316</v>
      </c>
    </row>
    <row r="42" spans="2:21" x14ac:dyDescent="0.25">
      <c r="B42" s="498" t="s">
        <v>211</v>
      </c>
      <c r="C42" s="496">
        <v>697</v>
      </c>
      <c r="D42" s="497">
        <f>472+20</f>
        <v>492</v>
      </c>
      <c r="E42" s="497">
        <v>25</v>
      </c>
      <c r="F42" s="497">
        <v>88</v>
      </c>
      <c r="G42" s="497">
        <v>190</v>
      </c>
      <c r="H42" s="638">
        <f>SUM(C42:G42)</f>
        <v>1492</v>
      </c>
      <c r="I42" s="642">
        <v>1110</v>
      </c>
      <c r="J42" s="643">
        <v>555</v>
      </c>
      <c r="K42" s="643">
        <v>4</v>
      </c>
      <c r="L42" s="643">
        <v>98</v>
      </c>
      <c r="M42" s="643">
        <v>92</v>
      </c>
      <c r="N42" s="643">
        <f t="shared" si="1"/>
        <v>1859</v>
      </c>
      <c r="O42" s="654">
        <v>1</v>
      </c>
      <c r="P42" s="456">
        <v>207</v>
      </c>
      <c r="Q42" s="456">
        <v>0</v>
      </c>
      <c r="R42" s="456">
        <v>1</v>
      </c>
      <c r="S42" s="456">
        <v>20</v>
      </c>
      <c r="T42" s="456">
        <v>3</v>
      </c>
      <c r="U42" s="655">
        <f>SUM(O42:T42)</f>
        <v>232</v>
      </c>
    </row>
    <row r="43" spans="2:21" ht="14.4" thickBot="1" x14ac:dyDescent="0.3">
      <c r="B43" s="639" t="s">
        <v>243</v>
      </c>
      <c r="C43" s="499"/>
      <c r="D43" s="500"/>
      <c r="E43" s="500"/>
      <c r="F43" s="500"/>
      <c r="G43" s="500"/>
      <c r="H43" s="501"/>
      <c r="I43" s="499"/>
      <c r="J43" s="500"/>
      <c r="K43" s="500"/>
      <c r="L43" s="500"/>
      <c r="M43" s="500"/>
      <c r="N43" s="500"/>
      <c r="O43" s="656"/>
      <c r="P43" s="657"/>
      <c r="Q43" s="657"/>
      <c r="R43" s="657"/>
      <c r="S43" s="657"/>
      <c r="T43" s="657"/>
      <c r="U43" s="658"/>
    </row>
    <row r="44" spans="2:21" x14ac:dyDescent="0.25">
      <c r="B44" s="659" t="s">
        <v>814</v>
      </c>
    </row>
  </sheetData>
  <sheetProtection formatCells="0" formatColumns="0" formatRows="0" insertColumns="0" insertRows="0" insertHyperlinks="0" deleteColumns="0" deleteRows="0"/>
  <mergeCells count="10">
    <mergeCell ref="C39:H40"/>
    <mergeCell ref="B24:B25"/>
    <mergeCell ref="C24:E24"/>
    <mergeCell ref="F24:H24"/>
    <mergeCell ref="B2:U2"/>
    <mergeCell ref="I24:K24"/>
    <mergeCell ref="C36:H36"/>
    <mergeCell ref="I36:N36"/>
    <mergeCell ref="B36:B37"/>
    <mergeCell ref="O36:U36"/>
  </mergeCells>
  <phoneticPr fontId="33" type="noConversion"/>
  <hyperlinks>
    <hyperlink ref="A1" location="'Table of Contents'!A1" display="Back to Table of Contents" xr:uid="{141296F5-63C8-4049-8F95-949C9E833552}"/>
  </hyperlinks>
  <pageMargins left="0.23622047244094491" right="0.23622047244094491" top="0.74803149606299213" bottom="0.74803149606299213" header="0.31496062992125984" footer="0.31496062992125984"/>
  <pageSetup paperSize="9" scale="43" orientation="landscape" r:id="rId1"/>
  <headerFooter>
    <oddHeader>&amp;L&amp;"Calibri"&amp;10&amp;K000000 Sensitivity: Internal&amp;1#_x000D_&amp;"Aptos Narrow"&amp;11&amp;K000000Sustainability Data Pack 2022&amp;CRHI Magnesita&amp;R&amp;G</oddHeader>
    <oddFooter>&amp;R&amp;P/&amp;N</oddFooter>
  </headerFooter>
  <drawing r:id="rId2"/>
  <legacyDrawing r:id="rId3"/>
  <legacyDrawingHF r:id="rId4"/>
  <picture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9108B-2781-4760-9185-0A58C733AF16}">
  <dimension ref="A1:M35"/>
  <sheetViews>
    <sheetView showGridLines="0" zoomScaleNormal="100" workbookViewId="0">
      <selection activeCell="B3" sqref="B3:E3"/>
    </sheetView>
  </sheetViews>
  <sheetFormatPr baseColWidth="10" defaultColWidth="11.5546875" defaultRowHeight="13.8" x14ac:dyDescent="0.25"/>
  <cols>
    <col min="1" max="1" width="4.77734375" style="256" customWidth="1"/>
    <col min="2" max="2" width="70" style="256" customWidth="1"/>
    <col min="3" max="5" width="19.6640625" style="256" customWidth="1"/>
    <col min="6" max="6" width="12.33203125" style="256" customWidth="1"/>
    <col min="7" max="12" width="11.5546875" style="256"/>
    <col min="13" max="13" width="16.5546875" style="337" bestFit="1" customWidth="1"/>
    <col min="14" max="16384" width="11.5546875" style="256"/>
  </cols>
  <sheetData>
    <row r="1" spans="1:13" ht="14.4" x14ac:dyDescent="0.3">
      <c r="A1" s="724" t="s">
        <v>883</v>
      </c>
    </row>
    <row r="3" spans="1:13" ht="28.2" x14ac:dyDescent="0.5">
      <c r="B3" s="815" t="s">
        <v>344</v>
      </c>
      <c r="C3" s="815"/>
      <c r="D3" s="815"/>
      <c r="E3" s="815"/>
      <c r="F3" s="549"/>
    </row>
    <row r="4" spans="1:13" x14ac:dyDescent="0.25">
      <c r="M4" s="541"/>
    </row>
    <row r="5" spans="1:13" x14ac:dyDescent="0.25">
      <c r="B5" s="253" t="s">
        <v>715</v>
      </c>
      <c r="C5" s="253">
        <v>2025</v>
      </c>
      <c r="D5" s="253">
        <v>2024</v>
      </c>
      <c r="E5" s="540" t="s">
        <v>556</v>
      </c>
    </row>
    <row r="6" spans="1:13" ht="38.4" customHeight="1" x14ac:dyDescent="0.25">
      <c r="B6" s="510" t="s">
        <v>248</v>
      </c>
      <c r="C6" s="511">
        <v>1</v>
      </c>
      <c r="D6" s="512">
        <v>1</v>
      </c>
      <c r="E6" s="513">
        <f t="shared" ref="E6:E11" si="0">C6/D6-1</f>
        <v>0</v>
      </c>
      <c r="I6" s="542"/>
    </row>
    <row r="7" spans="1:13" ht="38.4" customHeight="1" x14ac:dyDescent="0.25">
      <c r="B7" s="350" t="s">
        <v>249</v>
      </c>
      <c r="C7" s="514">
        <v>1</v>
      </c>
      <c r="D7" s="515">
        <v>1</v>
      </c>
      <c r="E7" s="513">
        <f t="shared" si="0"/>
        <v>0</v>
      </c>
    </row>
    <row r="8" spans="1:13" ht="38.4" customHeight="1" x14ac:dyDescent="0.25">
      <c r="B8" s="350" t="s">
        <v>250</v>
      </c>
      <c r="C8" s="514">
        <v>0</v>
      </c>
      <c r="D8" s="515">
        <v>1</v>
      </c>
      <c r="E8" s="513">
        <f t="shared" si="0"/>
        <v>-1</v>
      </c>
    </row>
    <row r="9" spans="1:13" ht="38.4" customHeight="1" x14ac:dyDescent="0.25">
      <c r="B9" s="350" t="s">
        <v>251</v>
      </c>
      <c r="C9" s="514">
        <v>204</v>
      </c>
      <c r="D9" s="515">
        <v>98</v>
      </c>
      <c r="E9" s="513">
        <f t="shared" si="0"/>
        <v>1.0816326530612246</v>
      </c>
    </row>
    <row r="10" spans="1:13" ht="38.4" customHeight="1" x14ac:dyDescent="0.25">
      <c r="B10" s="350" t="s">
        <v>252</v>
      </c>
      <c r="C10" s="516">
        <v>4.09</v>
      </c>
      <c r="D10" s="517">
        <v>1.9</v>
      </c>
      <c r="E10" s="513">
        <f t="shared" si="0"/>
        <v>1.1526315789473682</v>
      </c>
    </row>
    <row r="11" spans="1:13" ht="38.4" customHeight="1" thickBot="1" x14ac:dyDescent="0.3">
      <c r="B11" s="537" t="s">
        <v>716</v>
      </c>
      <c r="C11" s="538">
        <v>49938226</v>
      </c>
      <c r="D11" s="539">
        <v>51611558</v>
      </c>
      <c r="E11" s="534">
        <f t="shared" si="0"/>
        <v>-3.2421652529846079E-2</v>
      </c>
    </row>
    <row r="12" spans="1:13" ht="38.4" customHeight="1" thickTop="1" x14ac:dyDescent="0.25">
      <c r="B12" s="543"/>
      <c r="C12" s="544"/>
      <c r="D12" s="545"/>
    </row>
    <row r="13" spans="1:13" ht="13.8" customHeight="1" x14ac:dyDescent="0.25">
      <c r="B13" s="518"/>
      <c r="C13" s="544"/>
      <c r="D13" s="545"/>
    </row>
    <row r="14" spans="1:13" x14ac:dyDescent="0.25">
      <c r="B14" s="253" t="s">
        <v>717</v>
      </c>
      <c r="C14" s="253">
        <v>2025</v>
      </c>
      <c r="D14" s="253">
        <v>2024</v>
      </c>
      <c r="E14" s="290" t="s">
        <v>556</v>
      </c>
      <c r="F14" s="253">
        <v>2023</v>
      </c>
      <c r="G14" s="253">
        <v>2022</v>
      </c>
      <c r="H14" s="253">
        <v>2021</v>
      </c>
      <c r="I14" s="253">
        <v>2020</v>
      </c>
      <c r="J14" s="253">
        <v>2019</v>
      </c>
      <c r="K14" s="253">
        <v>2018</v>
      </c>
      <c r="L14" s="509" t="s">
        <v>556</v>
      </c>
      <c r="M14" s="541"/>
    </row>
    <row r="15" spans="1:13" ht="36.6" customHeight="1" x14ac:dyDescent="0.25">
      <c r="B15" s="518" t="s">
        <v>718</v>
      </c>
      <c r="C15" s="519">
        <v>0.37</v>
      </c>
      <c r="D15" s="520">
        <v>0.11</v>
      </c>
      <c r="E15" s="513">
        <f>C15/D15-1</f>
        <v>2.3636363636363638</v>
      </c>
      <c r="F15" s="521">
        <v>0.16</v>
      </c>
      <c r="G15" s="521">
        <v>0.2</v>
      </c>
      <c r="H15" s="522">
        <v>0.19</v>
      </c>
      <c r="I15" s="522">
        <v>0.13</v>
      </c>
      <c r="J15" s="522">
        <v>0.28000000000000003</v>
      </c>
      <c r="K15" s="522">
        <v>0.43</v>
      </c>
      <c r="L15" s="546">
        <f>C15/D15-1</f>
        <v>2.3636363636363638</v>
      </c>
    </row>
    <row r="16" spans="1:13" ht="36.6" customHeight="1" x14ac:dyDescent="0.25">
      <c r="A16" s="256" t="s">
        <v>551</v>
      </c>
      <c r="B16" s="518" t="s">
        <v>462</v>
      </c>
      <c r="C16" s="519">
        <f>C15*5</f>
        <v>1.85</v>
      </c>
      <c r="D16" s="519">
        <f>D15*5</f>
        <v>0.55000000000000004</v>
      </c>
      <c r="E16" s="523">
        <f t="shared" ref="E16:E18" si="1">C16/D16-1</f>
        <v>2.3636363636363633</v>
      </c>
      <c r="F16" s="521">
        <v>0.8</v>
      </c>
      <c r="G16" s="521">
        <v>1</v>
      </c>
      <c r="H16" s="522">
        <v>0.95</v>
      </c>
      <c r="I16" s="522">
        <v>0.65</v>
      </c>
      <c r="J16" s="522">
        <v>1.4000000000000001</v>
      </c>
      <c r="K16" s="522">
        <v>2.15</v>
      </c>
      <c r="L16" s="546">
        <f>C16/D16-1</f>
        <v>2.3636363636363633</v>
      </c>
    </row>
    <row r="17" spans="1:12" ht="37.200000000000003" customHeight="1" x14ac:dyDescent="0.25">
      <c r="A17" s="256" t="s">
        <v>551</v>
      </c>
      <c r="B17" s="518" t="s">
        <v>719</v>
      </c>
      <c r="C17" s="520">
        <f>C18/5</f>
        <v>0.81799999999999995</v>
      </c>
      <c r="D17" s="520">
        <f>D18/5</f>
        <v>0.38</v>
      </c>
      <c r="E17" s="523">
        <f t="shared" si="1"/>
        <v>1.1526315789473682</v>
      </c>
      <c r="F17" s="521">
        <f>F18/5</f>
        <v>0</v>
      </c>
      <c r="G17" s="522">
        <v>0.54</v>
      </c>
      <c r="H17" s="521">
        <v>0.61</v>
      </c>
      <c r="I17" s="521">
        <v>0.45</v>
      </c>
      <c r="J17" s="521">
        <v>0.93</v>
      </c>
      <c r="K17" s="521">
        <v>0.97</v>
      </c>
      <c r="L17" s="546">
        <f>C17/D17-1</f>
        <v>1.1526315789473682</v>
      </c>
    </row>
    <row r="18" spans="1:12" ht="37.200000000000003" customHeight="1" thickBot="1" x14ac:dyDescent="0.3">
      <c r="B18" s="531" t="s">
        <v>720</v>
      </c>
      <c r="C18" s="532">
        <v>4.09</v>
      </c>
      <c r="D18" s="533">
        <v>1.9</v>
      </c>
      <c r="E18" s="534">
        <f t="shared" si="1"/>
        <v>1.1526315789473682</v>
      </c>
      <c r="F18" s="535">
        <f>F11</f>
        <v>0</v>
      </c>
      <c r="G18" s="535">
        <f t="shared" ref="G18:K18" si="2">G17*5</f>
        <v>2.7</v>
      </c>
      <c r="H18" s="536">
        <f t="shared" si="2"/>
        <v>3.05</v>
      </c>
      <c r="I18" s="536">
        <f t="shared" si="2"/>
        <v>2.25</v>
      </c>
      <c r="J18" s="536">
        <f t="shared" si="2"/>
        <v>4.6500000000000004</v>
      </c>
      <c r="K18" s="536">
        <f t="shared" si="2"/>
        <v>4.8499999999999996</v>
      </c>
      <c r="L18" s="547">
        <f>C18/D18-1</f>
        <v>1.1526315789473682</v>
      </c>
    </row>
    <row r="19" spans="1:12" ht="14.4" thickTop="1" x14ac:dyDescent="0.25">
      <c r="B19" s="380" t="s">
        <v>142</v>
      </c>
      <c r="K19" s="546"/>
    </row>
    <row r="20" spans="1:12" x14ac:dyDescent="0.25">
      <c r="B20" s="380" t="s">
        <v>721</v>
      </c>
      <c r="C20" s="391"/>
    </row>
    <row r="21" spans="1:12" x14ac:dyDescent="0.25">
      <c r="B21" s="380" t="s">
        <v>722</v>
      </c>
      <c r="C21" s="391"/>
    </row>
    <row r="22" spans="1:12" x14ac:dyDescent="0.25">
      <c r="B22" s="256" t="s">
        <v>723</v>
      </c>
      <c r="C22" s="391"/>
    </row>
    <row r="26" spans="1:12" ht="16.05" customHeight="1" x14ac:dyDescent="0.25">
      <c r="C26" s="524">
        <v>2025</v>
      </c>
      <c r="D26" s="524">
        <v>2024</v>
      </c>
      <c r="E26" s="524"/>
      <c r="F26" s="548"/>
    </row>
    <row r="27" spans="1:12" ht="16.05" customHeight="1" x14ac:dyDescent="0.25">
      <c r="B27" s="253" t="s">
        <v>724</v>
      </c>
      <c r="C27" s="525"/>
      <c r="D27" s="526" t="s">
        <v>725</v>
      </c>
      <c r="E27" s="526" t="s">
        <v>726</v>
      </c>
      <c r="F27" s="527"/>
    </row>
    <row r="28" spans="1:12" ht="55.05" customHeight="1" x14ac:dyDescent="0.25">
      <c r="A28" s="256" t="s">
        <v>551</v>
      </c>
      <c r="B28" s="350" t="s">
        <v>727</v>
      </c>
      <c r="C28" s="528">
        <v>1</v>
      </c>
      <c r="D28" s="528">
        <v>1</v>
      </c>
      <c r="E28" s="528">
        <v>1</v>
      </c>
    </row>
    <row r="29" spans="1:12" ht="34.950000000000003" customHeight="1" x14ac:dyDescent="0.25">
      <c r="A29" s="256" t="s">
        <v>551</v>
      </c>
      <c r="B29" s="350" t="s">
        <v>728</v>
      </c>
      <c r="C29" s="529">
        <v>1</v>
      </c>
      <c r="D29" s="529">
        <v>2</v>
      </c>
      <c r="E29" s="529">
        <v>2</v>
      </c>
    </row>
    <row r="30" spans="1:12" ht="28.95" customHeight="1" x14ac:dyDescent="0.25">
      <c r="A30" s="256" t="s">
        <v>551</v>
      </c>
      <c r="B30" s="350" t="s">
        <v>729</v>
      </c>
      <c r="C30" s="529">
        <v>1</v>
      </c>
      <c r="D30" s="529">
        <v>1</v>
      </c>
      <c r="E30" s="529">
        <v>1</v>
      </c>
    </row>
    <row r="31" spans="1:12" ht="28.95" customHeight="1" x14ac:dyDescent="0.25">
      <c r="A31" s="256" t="s">
        <v>551</v>
      </c>
      <c r="B31" s="350" t="s">
        <v>730</v>
      </c>
      <c r="C31" s="529">
        <v>0</v>
      </c>
      <c r="D31" s="529">
        <v>1</v>
      </c>
      <c r="E31" s="529">
        <v>1</v>
      </c>
    </row>
    <row r="32" spans="1:12" ht="28.95" customHeight="1" x14ac:dyDescent="0.25">
      <c r="B32" s="350" t="s">
        <v>731</v>
      </c>
      <c r="C32" s="529">
        <v>204</v>
      </c>
      <c r="D32" s="529">
        <v>98</v>
      </c>
      <c r="E32" s="529">
        <v>115</v>
      </c>
    </row>
    <row r="33" spans="2:5" ht="28.95" customHeight="1" x14ac:dyDescent="0.25">
      <c r="B33" s="350" t="s">
        <v>732</v>
      </c>
      <c r="C33" s="530">
        <v>4.09</v>
      </c>
      <c r="D33" s="530">
        <v>1.9</v>
      </c>
      <c r="E33" s="530">
        <v>2.0299999999999998</v>
      </c>
    </row>
    <row r="34" spans="2:5" ht="28.95" customHeight="1" x14ac:dyDescent="0.25">
      <c r="B34" s="350" t="s">
        <v>733</v>
      </c>
      <c r="C34" s="529">
        <v>49938226</v>
      </c>
      <c r="D34" s="529">
        <v>51611558</v>
      </c>
      <c r="E34" s="529">
        <v>56774009</v>
      </c>
    </row>
    <row r="35" spans="2:5" x14ac:dyDescent="0.25">
      <c r="B35" s="337"/>
      <c r="C35" s="337"/>
      <c r="D35" s="337"/>
      <c r="E35" s="337"/>
    </row>
  </sheetData>
  <mergeCells count="1">
    <mergeCell ref="B3:E3"/>
  </mergeCells>
  <hyperlinks>
    <hyperlink ref="A1" location="'Table of Contents'!A1" display="Back to Table of Contents" xr:uid="{CEB69E31-E421-4811-A826-A2B7500BEA3A}"/>
  </hyperlinks>
  <pageMargins left="0.7" right="0.7" top="0.78740157499999996" bottom="0.78740157499999996"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2974B-5CBD-434A-A003-A45821F661AC}">
  <sheetPr>
    <pageSetUpPr fitToPage="1"/>
  </sheetPr>
  <dimension ref="A1:J35"/>
  <sheetViews>
    <sheetView showGridLines="0" zoomScale="96" zoomScaleNormal="96" workbookViewId="0">
      <selection activeCell="B3" sqref="B3:J3"/>
    </sheetView>
  </sheetViews>
  <sheetFormatPr baseColWidth="10" defaultColWidth="8.44140625" defaultRowHeight="14.4" x14ac:dyDescent="0.3"/>
  <cols>
    <col min="1" max="1" width="4.88671875" customWidth="1"/>
    <col min="2" max="2" width="30.77734375" customWidth="1"/>
    <col min="3" max="5" width="10.6640625" customWidth="1"/>
    <col min="6" max="6" width="11.5546875" customWidth="1"/>
    <col min="7" max="7" width="12.77734375" customWidth="1"/>
    <col min="8" max="10" width="9.6640625" customWidth="1"/>
  </cols>
  <sheetData>
    <row r="1" spans="1:10" x14ac:dyDescent="0.3">
      <c r="A1" s="724" t="s">
        <v>883</v>
      </c>
    </row>
    <row r="3" spans="1:10" ht="25.2" x14ac:dyDescent="0.3">
      <c r="B3" s="741" t="s">
        <v>736</v>
      </c>
      <c r="C3" s="741"/>
      <c r="D3" s="741"/>
      <c r="E3" s="741"/>
      <c r="F3" s="741"/>
      <c r="G3" s="741"/>
      <c r="H3" s="741"/>
      <c r="I3" s="741"/>
      <c r="J3" s="741"/>
    </row>
    <row r="5" spans="1:10" ht="15.6" x14ac:dyDescent="0.3">
      <c r="B5" s="132" t="s">
        <v>737</v>
      </c>
    </row>
    <row r="7" spans="1:10" ht="15.6" x14ac:dyDescent="0.3">
      <c r="B7" s="94" t="s">
        <v>348</v>
      </c>
      <c r="C7" s="105">
        <v>2023</v>
      </c>
      <c r="D7" s="105">
        <v>2024</v>
      </c>
      <c r="E7" s="105">
        <v>2025</v>
      </c>
      <c r="G7" s="94" t="s">
        <v>374</v>
      </c>
      <c r="H7" s="124">
        <v>2023</v>
      </c>
      <c r="I7" s="105">
        <v>2024</v>
      </c>
      <c r="J7" s="105">
        <v>2025</v>
      </c>
    </row>
    <row r="8" spans="1:10" ht="15.6" x14ac:dyDescent="0.3">
      <c r="B8" s="83" t="s">
        <v>144</v>
      </c>
      <c r="C8" s="141">
        <v>38</v>
      </c>
      <c r="D8" s="483">
        <v>42</v>
      </c>
      <c r="E8" s="483">
        <v>34</v>
      </c>
      <c r="G8" s="83" t="s">
        <v>144</v>
      </c>
      <c r="H8" s="116">
        <f>C8/C10</f>
        <v>0.73076923076923073</v>
      </c>
      <c r="I8" s="116">
        <f>D8/D10</f>
        <v>0.71186440677966101</v>
      </c>
      <c r="J8" s="116">
        <f>E8/E10</f>
        <v>0.65384615384615385</v>
      </c>
    </row>
    <row r="9" spans="1:10" ht="15.6" x14ac:dyDescent="0.3">
      <c r="B9" s="83" t="s">
        <v>147</v>
      </c>
      <c r="C9" s="141">
        <v>14</v>
      </c>
      <c r="D9" s="483">
        <v>17</v>
      </c>
      <c r="E9" s="483">
        <v>18</v>
      </c>
      <c r="G9" s="566" t="s">
        <v>147</v>
      </c>
      <c r="H9" s="123">
        <f>C9/C10</f>
        <v>0.26923076923076922</v>
      </c>
      <c r="I9" s="123">
        <f>D9/D10</f>
        <v>0.28813559322033899</v>
      </c>
      <c r="J9" s="123">
        <f>E9/E10</f>
        <v>0.34615384615384615</v>
      </c>
    </row>
    <row r="10" spans="1:10" ht="16.2" thickBot="1" x14ac:dyDescent="0.35">
      <c r="B10" s="562" t="s">
        <v>160</v>
      </c>
      <c r="C10" s="563">
        <f>SUM(C8:C9)</f>
        <v>52</v>
      </c>
      <c r="D10" s="564">
        <f t="shared" ref="D10:E10" si="0">SUM(D8:D9)</f>
        <v>59</v>
      </c>
      <c r="E10" s="564">
        <f t="shared" si="0"/>
        <v>52</v>
      </c>
    </row>
    <row r="11" spans="1:10" ht="15" thickTop="1" x14ac:dyDescent="0.3">
      <c r="C11" s="137"/>
      <c r="D11" s="143"/>
    </row>
    <row r="13" spans="1:10" ht="15.6" x14ac:dyDescent="0.3">
      <c r="B13" s="132" t="s">
        <v>738</v>
      </c>
      <c r="C13" s="106"/>
    </row>
    <row r="14" spans="1:10" ht="15.6" x14ac:dyDescent="0.3">
      <c r="B14" s="106"/>
      <c r="C14" s="106"/>
      <c r="G14" s="130"/>
      <c r="H14" s="130"/>
    </row>
    <row r="15" spans="1:10" ht="15.6" x14ac:dyDescent="0.3">
      <c r="B15" s="94" t="s">
        <v>375</v>
      </c>
      <c r="C15" s="95">
        <v>2023</v>
      </c>
      <c r="D15" s="105">
        <v>2024</v>
      </c>
      <c r="E15" s="105">
        <v>2025</v>
      </c>
      <c r="G15" s="94" t="s">
        <v>376</v>
      </c>
      <c r="H15" s="124">
        <v>2023</v>
      </c>
      <c r="I15" s="105">
        <v>2024</v>
      </c>
      <c r="J15" s="105">
        <v>2025</v>
      </c>
    </row>
    <row r="16" spans="1:10" ht="15.6" x14ac:dyDescent="0.3">
      <c r="B16" s="107" t="s">
        <v>150</v>
      </c>
      <c r="C16" s="111">
        <v>2547</v>
      </c>
      <c r="D16" s="134">
        <v>2266</v>
      </c>
      <c r="E16" s="559">
        <v>2365</v>
      </c>
      <c r="G16" s="107" t="s">
        <v>150</v>
      </c>
      <c r="H16" s="116">
        <f>C16/C$19</f>
        <v>0.16032985018255067</v>
      </c>
      <c r="I16" s="116">
        <f t="shared" ref="I16:J18" si="1">D16/D$19</f>
        <v>0.14483860658357303</v>
      </c>
      <c r="J16" s="116">
        <f t="shared" si="1"/>
        <v>0.1521095960895292</v>
      </c>
    </row>
    <row r="17" spans="2:10" ht="15.6" x14ac:dyDescent="0.3">
      <c r="B17" s="107" t="s">
        <v>218</v>
      </c>
      <c r="C17" s="111">
        <v>9818</v>
      </c>
      <c r="D17" s="134">
        <v>9644</v>
      </c>
      <c r="E17" s="559">
        <v>9294</v>
      </c>
      <c r="G17" s="107" t="s">
        <v>218</v>
      </c>
      <c r="H17" s="116">
        <f>C17/C$19</f>
        <v>0.61802845272567042</v>
      </c>
      <c r="I17" s="116">
        <f t="shared" si="1"/>
        <v>0.61642697347395337</v>
      </c>
      <c r="J17" s="116">
        <f t="shared" si="1"/>
        <v>0.59776177000257269</v>
      </c>
    </row>
    <row r="18" spans="2:10" ht="15.6" x14ac:dyDescent="0.3">
      <c r="B18" s="122" t="s">
        <v>151</v>
      </c>
      <c r="C18" s="133">
        <v>3521</v>
      </c>
      <c r="D18" s="560">
        <v>3735</v>
      </c>
      <c r="E18" s="561">
        <v>3889</v>
      </c>
      <c r="G18" s="122" t="s">
        <v>151</v>
      </c>
      <c r="H18" s="123">
        <f>C18/C$19</f>
        <v>0.22164169709177892</v>
      </c>
      <c r="I18" s="123">
        <f t="shared" si="1"/>
        <v>0.23873441994247363</v>
      </c>
      <c r="J18" s="123">
        <f t="shared" si="1"/>
        <v>0.25012863390789813</v>
      </c>
    </row>
    <row r="19" spans="2:10" ht="16.2" thickBot="1" x14ac:dyDescent="0.35">
      <c r="B19" s="562" t="s">
        <v>160</v>
      </c>
      <c r="C19" s="563">
        <f>SUM(C16:C18)</f>
        <v>15886</v>
      </c>
      <c r="D19" s="564">
        <f>SUM(D16:D18)</f>
        <v>15645</v>
      </c>
      <c r="E19" s="565">
        <f>SUM(E16:E18)</f>
        <v>15548</v>
      </c>
    </row>
    <row r="20" spans="2:10" ht="16.2" thickTop="1" x14ac:dyDescent="0.3">
      <c r="B20" s="106"/>
      <c r="C20" s="106"/>
      <c r="H20" s="130"/>
      <c r="I20" s="130"/>
      <c r="J20" s="130"/>
    </row>
    <row r="23" spans="2:10" ht="15.6" x14ac:dyDescent="0.3">
      <c r="B23" s="816" t="s">
        <v>143</v>
      </c>
      <c r="C23" s="816"/>
      <c r="D23" s="816"/>
      <c r="E23" s="816"/>
      <c r="F23" s="816"/>
      <c r="G23" s="816"/>
      <c r="H23" s="816"/>
      <c r="I23" s="816"/>
      <c r="J23" s="83"/>
    </row>
    <row r="24" spans="2:10" ht="15.6" x14ac:dyDescent="0.3">
      <c r="B24" s="107"/>
      <c r="C24" s="107"/>
      <c r="D24" s="107"/>
      <c r="E24" s="107"/>
      <c r="F24" s="107"/>
      <c r="G24" s="107"/>
      <c r="H24" s="107"/>
      <c r="I24" s="83"/>
      <c r="J24" s="83"/>
    </row>
    <row r="25" spans="2:10" x14ac:dyDescent="0.3">
      <c r="B25" s="79" t="s">
        <v>741</v>
      </c>
      <c r="C25" s="79">
        <v>2018</v>
      </c>
      <c r="D25" s="79">
        <v>2019</v>
      </c>
      <c r="E25" s="79">
        <v>2020</v>
      </c>
      <c r="F25" s="79">
        <v>2021</v>
      </c>
      <c r="G25" s="79">
        <v>2022</v>
      </c>
      <c r="H25" s="79">
        <v>2023</v>
      </c>
      <c r="I25" s="91">
        <v>2024</v>
      </c>
      <c r="J25" s="91">
        <v>2025</v>
      </c>
    </row>
    <row r="26" spans="2:10" ht="15.6" x14ac:dyDescent="0.3">
      <c r="B26" s="107" t="s">
        <v>144</v>
      </c>
      <c r="C26" s="113" t="s">
        <v>145</v>
      </c>
      <c r="D26" s="113" t="s">
        <v>145</v>
      </c>
      <c r="E26" s="113" t="s">
        <v>146</v>
      </c>
      <c r="F26" s="113" t="s">
        <v>146</v>
      </c>
      <c r="G26" s="113" t="s">
        <v>146</v>
      </c>
      <c r="H26" s="113" t="s">
        <v>208</v>
      </c>
      <c r="I26" s="113" t="s">
        <v>208</v>
      </c>
      <c r="J26" s="113" t="s">
        <v>739</v>
      </c>
    </row>
    <row r="27" spans="2:10" ht="15.6" x14ac:dyDescent="0.3">
      <c r="B27" s="107" t="s">
        <v>147</v>
      </c>
      <c r="C27" s="113" t="s">
        <v>148</v>
      </c>
      <c r="D27" s="113" t="s">
        <v>148</v>
      </c>
      <c r="E27" s="113" t="s">
        <v>149</v>
      </c>
      <c r="F27" s="113" t="s">
        <v>149</v>
      </c>
      <c r="G27" s="113" t="s">
        <v>149</v>
      </c>
      <c r="H27" s="113" t="s">
        <v>209</v>
      </c>
      <c r="I27" s="113" t="s">
        <v>209</v>
      </c>
      <c r="J27" s="113" t="s">
        <v>740</v>
      </c>
    </row>
    <row r="28" spans="2:10" ht="15.6" x14ac:dyDescent="0.3">
      <c r="B28" s="107"/>
      <c r="C28" s="107"/>
      <c r="D28" s="107"/>
      <c r="E28" s="107"/>
      <c r="F28" s="107"/>
      <c r="G28" s="107"/>
      <c r="H28" s="107"/>
      <c r="I28" s="83"/>
      <c r="J28" s="83"/>
    </row>
    <row r="29" spans="2:10" x14ac:dyDescent="0.3">
      <c r="B29" s="79" t="s">
        <v>742</v>
      </c>
      <c r="C29" s="79">
        <v>2018</v>
      </c>
      <c r="D29" s="79">
        <v>2019</v>
      </c>
      <c r="E29" s="79">
        <v>2020</v>
      </c>
      <c r="F29" s="79">
        <v>2021</v>
      </c>
      <c r="G29" s="79">
        <v>2022</v>
      </c>
      <c r="H29" s="79">
        <v>2023</v>
      </c>
      <c r="I29" s="91">
        <v>2024</v>
      </c>
      <c r="J29" s="91">
        <v>2025</v>
      </c>
    </row>
    <row r="30" spans="2:10" ht="15.6" x14ac:dyDescent="0.3">
      <c r="B30" s="107" t="s">
        <v>21</v>
      </c>
      <c r="C30" s="116">
        <v>7.0000000000000007E-2</v>
      </c>
      <c r="D30" s="116">
        <v>0.23</v>
      </c>
      <c r="E30" s="116">
        <v>0.25</v>
      </c>
      <c r="F30" s="116">
        <v>0.38</v>
      </c>
      <c r="G30" s="116">
        <v>0.33</v>
      </c>
      <c r="H30" s="135">
        <v>0.28999999999999998</v>
      </c>
      <c r="I30" s="135">
        <v>0.33</v>
      </c>
      <c r="J30" s="135">
        <v>0.33</v>
      </c>
    </row>
    <row r="31" spans="2:10" ht="15.6" x14ac:dyDescent="0.3">
      <c r="B31" s="115" t="s">
        <v>102</v>
      </c>
      <c r="C31" s="116">
        <v>0.12</v>
      </c>
      <c r="D31" s="116">
        <v>0.17</v>
      </c>
      <c r="E31" s="116">
        <v>0.25</v>
      </c>
      <c r="F31" s="116">
        <v>0.22</v>
      </c>
      <c r="G31" s="116">
        <v>0.20680000000000001</v>
      </c>
      <c r="H31" s="135">
        <v>0.28000000000000003</v>
      </c>
      <c r="I31" s="135">
        <v>0.26</v>
      </c>
      <c r="J31" s="135">
        <v>0.33</v>
      </c>
    </row>
    <row r="32" spans="2:10" ht="15.6" x14ac:dyDescent="0.3">
      <c r="B32" s="107"/>
      <c r="C32" s="116"/>
      <c r="D32" s="116"/>
      <c r="E32" s="116"/>
      <c r="F32" s="116"/>
      <c r="G32" s="116"/>
      <c r="H32" s="107"/>
      <c r="I32" s="83"/>
      <c r="J32" s="83"/>
    </row>
    <row r="33" spans="2:10" ht="15.6" x14ac:dyDescent="0.3">
      <c r="B33" s="107" t="s">
        <v>142</v>
      </c>
      <c r="C33" s="107"/>
      <c r="D33" s="107"/>
      <c r="E33" s="107"/>
      <c r="F33" s="107"/>
      <c r="G33" s="107"/>
      <c r="H33" s="107"/>
      <c r="I33" s="83"/>
      <c r="J33" s="83"/>
    </row>
    <row r="34" spans="2:10" ht="15.6" x14ac:dyDescent="0.3">
      <c r="B34" s="107" t="s">
        <v>135</v>
      </c>
      <c r="C34" s="107"/>
      <c r="D34" s="107"/>
      <c r="E34" s="107"/>
      <c r="F34" s="107"/>
      <c r="G34" s="107"/>
      <c r="H34" s="107"/>
      <c r="I34" s="83"/>
      <c r="J34" s="83"/>
    </row>
    <row r="35" spans="2:10" ht="15.6" x14ac:dyDescent="0.3">
      <c r="B35" s="107" t="s">
        <v>152</v>
      </c>
      <c r="C35" s="107"/>
      <c r="D35" s="107"/>
      <c r="E35" s="107"/>
      <c r="F35" s="107"/>
      <c r="G35" s="107"/>
      <c r="H35" s="107"/>
      <c r="I35" s="83"/>
      <c r="J35" s="83"/>
    </row>
  </sheetData>
  <sheetProtection formatCells="0" formatColumns="0" formatRows="0" insertColumns="0" insertRows="0" insertHyperlinks="0" deleteColumns="0" deleteRows="0"/>
  <mergeCells count="2">
    <mergeCell ref="B23:I23"/>
    <mergeCell ref="B3:J3"/>
  </mergeCells>
  <phoneticPr fontId="33" type="noConversion"/>
  <hyperlinks>
    <hyperlink ref="A1" location="'Table of Contents'!A1" display="Back to Table of Contents" xr:uid="{990CB075-DE3F-43DC-A566-A6382BC6B568}"/>
  </hyperlinks>
  <pageMargins left="0.23622047244094491" right="0.23622047244094491" top="0.74803149606299213" bottom="0.74803149606299213" header="0.31496062992125984" footer="0.31496062992125984"/>
  <pageSetup paperSize="9" scale="43" orientation="landscape" r:id="rId1"/>
  <headerFooter>
    <oddHeader>&amp;L&amp;"Calibri"&amp;10&amp;K000000 Sensitivity: Internal&amp;1#_x000D_&amp;"Aptos Narrow"&amp;11&amp;K000000Sustainability Data Pack 2022&amp;CRHI Magnesita&amp;R&amp;G</oddHeader>
    <oddFooter>&amp;R&amp;P/&amp;N</oddFooter>
  </headerFooter>
  <drawing r:id="rId2"/>
  <legacyDrawingHF r:id="rId3"/>
  <picture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0B100-3D35-4DD7-96D3-BCE0C5C99029}">
  <dimension ref="A1:E11"/>
  <sheetViews>
    <sheetView showGridLines="0" zoomScaleNormal="100" workbookViewId="0">
      <selection activeCell="B3" sqref="B3:E3"/>
    </sheetView>
  </sheetViews>
  <sheetFormatPr baseColWidth="10" defaultColWidth="11.5546875" defaultRowHeight="14.4" x14ac:dyDescent="0.3"/>
  <cols>
    <col min="1" max="1" width="4.5546875" style="249" customWidth="1"/>
    <col min="2" max="2" width="87.88671875" style="249" bestFit="1" customWidth="1"/>
    <col min="3" max="3" width="13.109375" style="249" customWidth="1"/>
    <col min="4" max="16384" width="11.5546875" style="249"/>
  </cols>
  <sheetData>
    <row r="1" spans="1:5" x14ac:dyDescent="0.3">
      <c r="A1" s="724" t="s">
        <v>883</v>
      </c>
    </row>
    <row r="2" spans="1:5" x14ac:dyDescent="0.3">
      <c r="A2" s="724"/>
    </row>
    <row r="3" spans="1:5" ht="22.8" x14ac:dyDescent="0.4">
      <c r="A3" s="248"/>
      <c r="B3" s="817" t="s">
        <v>885</v>
      </c>
      <c r="C3" s="817"/>
      <c r="D3" s="817"/>
      <c r="E3" s="817"/>
    </row>
    <row r="5" spans="1:5" s="550" customFormat="1" ht="27" customHeight="1" x14ac:dyDescent="0.3">
      <c r="B5" s="551" t="s">
        <v>734</v>
      </c>
      <c r="C5" s="551">
        <v>2025</v>
      </c>
      <c r="D5" s="551">
        <v>2024</v>
      </c>
      <c r="E5" s="551" t="s">
        <v>556</v>
      </c>
    </row>
    <row r="6" spans="1:5" ht="29.4" customHeight="1" x14ac:dyDescent="0.3">
      <c r="B6" s="552" t="s">
        <v>432</v>
      </c>
      <c r="C6" s="553">
        <v>9</v>
      </c>
      <c r="D6" s="553">
        <v>25</v>
      </c>
      <c r="E6" s="554">
        <f>C6/D6-1</f>
        <v>-0.64</v>
      </c>
    </row>
    <row r="7" spans="1:5" ht="34.799999999999997" customHeight="1" x14ac:dyDescent="0.3">
      <c r="B7" s="555" t="s">
        <v>433</v>
      </c>
      <c r="C7" s="553">
        <v>0</v>
      </c>
      <c r="D7" s="553">
        <v>0</v>
      </c>
      <c r="E7" s="554">
        <v>0</v>
      </c>
    </row>
    <row r="8" spans="1:5" ht="34.200000000000003" customHeight="1" x14ac:dyDescent="0.3">
      <c r="B8" s="555" t="s">
        <v>434</v>
      </c>
      <c r="C8" s="553">
        <v>0</v>
      </c>
      <c r="D8" s="553">
        <v>0</v>
      </c>
      <c r="E8" s="554">
        <v>0</v>
      </c>
    </row>
    <row r="9" spans="1:5" ht="36" customHeight="1" x14ac:dyDescent="0.3">
      <c r="B9" s="555" t="s">
        <v>435</v>
      </c>
      <c r="C9" s="553">
        <v>0</v>
      </c>
      <c r="D9" s="553">
        <v>0</v>
      </c>
      <c r="E9" s="554">
        <v>0</v>
      </c>
    </row>
    <row r="10" spans="1:5" ht="58.2" customHeight="1" thickBot="1" x14ac:dyDescent="0.35">
      <c r="B10" s="556" t="s">
        <v>735</v>
      </c>
      <c r="C10" s="557">
        <v>0</v>
      </c>
      <c r="D10" s="557">
        <v>0</v>
      </c>
      <c r="E10" s="558">
        <v>0</v>
      </c>
    </row>
    <row r="11" spans="1:5" ht="15" thickTop="1" x14ac:dyDescent="0.3"/>
  </sheetData>
  <mergeCells count="1">
    <mergeCell ref="B3:E3"/>
  </mergeCells>
  <hyperlinks>
    <hyperlink ref="A1" location="'Table of Contents'!A1" display="Back to Table of Contents" xr:uid="{497BE813-76E8-4784-9625-39A02CE76A75}"/>
  </hyperlinks>
  <pageMargins left="0.7" right="0.7" top="0.78740157499999996" bottom="0.78740157499999996" header="0.3" footer="0.3"/>
  <pageSetup paperSize="9" scale="67"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33888F-678D-4C91-9913-DBEF6D698D2E}">
  <sheetPr>
    <pageSetUpPr fitToPage="1"/>
  </sheetPr>
  <dimension ref="A1:J14"/>
  <sheetViews>
    <sheetView showGridLines="0" zoomScale="85" zoomScaleNormal="85" workbookViewId="0">
      <selection activeCell="Q10" sqref="Q10"/>
    </sheetView>
  </sheetViews>
  <sheetFormatPr baseColWidth="10" defaultColWidth="8.44140625" defaultRowHeight="14.4" x14ac:dyDescent="0.3"/>
  <cols>
    <col min="1" max="1" width="4.88671875" customWidth="1"/>
    <col min="2" max="2" width="43" customWidth="1"/>
    <col min="3" max="10" width="13.5546875" customWidth="1"/>
  </cols>
  <sheetData>
    <row r="1" spans="1:10" x14ac:dyDescent="0.3">
      <c r="A1" s="724" t="s">
        <v>883</v>
      </c>
    </row>
    <row r="2" spans="1:10" x14ac:dyDescent="0.3">
      <c r="A2" s="724"/>
    </row>
    <row r="3" spans="1:10" ht="25.2" x14ac:dyDescent="0.45">
      <c r="B3" s="818" t="s">
        <v>343</v>
      </c>
      <c r="C3" s="818"/>
      <c r="D3" s="818"/>
      <c r="E3" s="818"/>
      <c r="F3" s="818"/>
      <c r="G3" s="818"/>
      <c r="H3" s="818"/>
      <c r="I3" s="818"/>
      <c r="J3" s="818"/>
    </row>
    <row r="4" spans="1:10" x14ac:dyDescent="0.3">
      <c r="B4" s="131"/>
    </row>
    <row r="6" spans="1:10" x14ac:dyDescent="0.3">
      <c r="B6" s="79"/>
      <c r="C6" s="79">
        <v>2018</v>
      </c>
      <c r="D6" s="79">
        <v>2019</v>
      </c>
      <c r="E6" s="79">
        <v>2020</v>
      </c>
      <c r="F6" s="79">
        <v>2021</v>
      </c>
      <c r="G6" s="79">
        <v>2022</v>
      </c>
      <c r="H6" s="79">
        <v>2023</v>
      </c>
      <c r="I6" s="91">
        <v>2024</v>
      </c>
      <c r="J6" s="91">
        <v>2025</v>
      </c>
    </row>
    <row r="7" spans="1:10" ht="23.4" customHeight="1" x14ac:dyDescent="0.3"/>
    <row r="8" spans="1:10" ht="28.8" x14ac:dyDescent="0.3">
      <c r="B8" s="97" t="s">
        <v>169</v>
      </c>
      <c r="C8" s="98">
        <v>2</v>
      </c>
      <c r="D8" s="98">
        <v>2</v>
      </c>
      <c r="E8" s="98">
        <v>2</v>
      </c>
      <c r="F8" s="99">
        <v>3</v>
      </c>
      <c r="G8" s="99">
        <v>3</v>
      </c>
      <c r="H8" s="99">
        <v>3</v>
      </c>
      <c r="I8" s="707">
        <v>3</v>
      </c>
      <c r="J8" s="707">
        <v>3</v>
      </c>
    </row>
    <row r="9" spans="1:10" ht="45" x14ac:dyDescent="0.3">
      <c r="B9" s="97" t="s">
        <v>233</v>
      </c>
      <c r="C9" s="100">
        <v>0.72</v>
      </c>
      <c r="D9" s="101">
        <v>0.71</v>
      </c>
      <c r="E9" s="101">
        <v>0.66</v>
      </c>
      <c r="F9" s="101">
        <v>0.82</v>
      </c>
      <c r="G9" s="101">
        <v>0.82</v>
      </c>
      <c r="H9" s="101">
        <v>0.74</v>
      </c>
      <c r="I9" s="708">
        <v>0.78</v>
      </c>
      <c r="J9" s="708">
        <v>0.74</v>
      </c>
    </row>
    <row r="10" spans="1:10" ht="57.6" x14ac:dyDescent="0.3">
      <c r="B10" s="97" t="s">
        <v>234</v>
      </c>
      <c r="C10" s="83"/>
      <c r="D10" s="83"/>
      <c r="E10" s="83"/>
      <c r="F10" s="83"/>
      <c r="G10" s="83"/>
      <c r="H10" s="83"/>
      <c r="I10" s="708">
        <v>0.97</v>
      </c>
      <c r="J10" s="708">
        <v>0.99</v>
      </c>
    </row>
    <row r="11" spans="1:10" ht="43.2" x14ac:dyDescent="0.3">
      <c r="B11" s="97" t="s">
        <v>235</v>
      </c>
      <c r="C11" s="83"/>
      <c r="D11" s="83"/>
      <c r="E11" s="83"/>
      <c r="F11" s="83"/>
      <c r="G11" s="83"/>
      <c r="H11" s="83"/>
      <c r="I11" s="708">
        <v>0.7</v>
      </c>
      <c r="J11" s="708">
        <v>0.66</v>
      </c>
    </row>
    <row r="14" spans="1:10" ht="33.6" customHeight="1" x14ac:dyDescent="0.3"/>
  </sheetData>
  <sheetProtection formatCells="0" formatColumns="0" formatRows="0" insertColumns="0" insertRows="0" insertHyperlinks="0" deleteColumns="0" deleteRows="0"/>
  <mergeCells count="1">
    <mergeCell ref="B3:J3"/>
  </mergeCells>
  <hyperlinks>
    <hyperlink ref="A1" location="'Table of Contents'!A1" display="Back to Table of Contents" xr:uid="{FFF41738-902C-4412-BF32-B1E52F2F9A80}"/>
  </hyperlinks>
  <pageMargins left="0.7" right="0.7" top="0.75" bottom="0.75" header="0.3" footer="0.3"/>
  <pageSetup paperSize="9" scale="92" orientation="portrait" r:id="rId1"/>
  <drawing r:id="rId2"/>
  <picture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252770-1875-4CC0-A350-97B90A1E8029}">
  <sheetPr>
    <pageSetUpPr fitToPage="1"/>
  </sheetPr>
  <dimension ref="A1:H36"/>
  <sheetViews>
    <sheetView showGridLines="0" zoomScale="85" zoomScaleNormal="85" workbookViewId="0">
      <selection activeCell="B4" sqref="B4:H4"/>
    </sheetView>
  </sheetViews>
  <sheetFormatPr baseColWidth="10" defaultColWidth="8.44140625" defaultRowHeight="14.4" x14ac:dyDescent="0.3"/>
  <cols>
    <col min="1" max="1" width="4.88671875" style="29" customWidth="1"/>
    <col min="2" max="2" width="42.44140625" bestFit="1" customWidth="1"/>
    <col min="3" max="8" width="13.44140625" customWidth="1"/>
  </cols>
  <sheetData>
    <row r="1" spans="1:8" x14ac:dyDescent="0.3">
      <c r="A1" s="724" t="s">
        <v>883</v>
      </c>
    </row>
    <row r="4" spans="1:8" ht="21" customHeight="1" x14ac:dyDescent="0.3">
      <c r="B4" s="741" t="s">
        <v>816</v>
      </c>
      <c r="C4" s="741"/>
      <c r="D4" s="741"/>
      <c r="E4" s="741"/>
      <c r="F4" s="741"/>
      <c r="G4" s="741"/>
      <c r="H4" s="741"/>
    </row>
    <row r="7" spans="1:8" ht="15.6" x14ac:dyDescent="0.3">
      <c r="B7" s="94" t="s">
        <v>818</v>
      </c>
      <c r="C7" s="102">
        <v>2020</v>
      </c>
      <c r="D7" s="102">
        <v>2021</v>
      </c>
      <c r="E7" s="102">
        <v>2022</v>
      </c>
      <c r="F7" s="102">
        <v>2023</v>
      </c>
      <c r="G7" s="102">
        <v>2024</v>
      </c>
      <c r="H7" s="102">
        <v>2025</v>
      </c>
    </row>
    <row r="8" spans="1:8" ht="15.6" x14ac:dyDescent="0.3">
      <c r="B8" s="107" t="s">
        <v>106</v>
      </c>
      <c r="C8" s="117">
        <v>0.17114753234704466</v>
      </c>
      <c r="D8" s="117">
        <v>8.2754257734411654E-2</v>
      </c>
      <c r="E8" s="117">
        <v>0.10557940676348235</v>
      </c>
      <c r="F8" s="117">
        <v>0</v>
      </c>
      <c r="G8" s="117">
        <v>0.01</v>
      </c>
      <c r="H8" s="117">
        <v>0</v>
      </c>
    </row>
    <row r="9" spans="1:8" ht="15.6" x14ac:dyDescent="0.3">
      <c r="B9" s="107" t="s">
        <v>107</v>
      </c>
      <c r="C9" s="117">
        <v>0.22980362145289845</v>
      </c>
      <c r="D9" s="117">
        <v>0.31964305965386658</v>
      </c>
      <c r="E9" s="117">
        <v>0</v>
      </c>
      <c r="F9" s="117">
        <v>0</v>
      </c>
      <c r="G9" s="117">
        <v>0</v>
      </c>
      <c r="H9" s="117">
        <v>0</v>
      </c>
    </row>
    <row r="10" spans="1:8" ht="15.6" x14ac:dyDescent="0.3">
      <c r="B10" s="107" t="s">
        <v>227</v>
      </c>
      <c r="C10" s="117">
        <v>0.14000000000000001</v>
      </c>
      <c r="D10" s="117">
        <v>0.31</v>
      </c>
      <c r="E10" s="117">
        <v>0.42</v>
      </c>
      <c r="F10" s="117">
        <v>0.501</v>
      </c>
      <c r="G10" s="117">
        <v>0.69</v>
      </c>
      <c r="H10" s="117">
        <v>0.63</v>
      </c>
    </row>
    <row r="11" spans="1:8" ht="15.6" x14ac:dyDescent="0.3">
      <c r="B11" s="107" t="s">
        <v>90</v>
      </c>
      <c r="C11" s="117">
        <v>0.13122613549703024</v>
      </c>
      <c r="D11" s="117">
        <v>7.7858891599271535E-2</v>
      </c>
      <c r="E11" s="117">
        <v>2.5744209484147948E-2</v>
      </c>
      <c r="F11" s="117">
        <v>3.5999999999999997E-2</v>
      </c>
      <c r="G11" s="117">
        <v>0.04</v>
      </c>
      <c r="H11" s="117">
        <v>0.04</v>
      </c>
    </row>
    <row r="12" spans="1:8" ht="15.6" x14ac:dyDescent="0.3">
      <c r="B12" s="107" t="s">
        <v>110</v>
      </c>
      <c r="C12" s="117">
        <v>7.6740938599386924E-2</v>
      </c>
      <c r="D12" s="117">
        <v>0.15716982684435116</v>
      </c>
      <c r="E12" s="117">
        <v>0.21738153694520043</v>
      </c>
      <c r="F12" s="117">
        <v>0.19800000000000001</v>
      </c>
      <c r="G12" s="117">
        <v>0.12</v>
      </c>
      <c r="H12" s="117">
        <v>0.21</v>
      </c>
    </row>
    <row r="13" spans="1:8" ht="15.6" x14ac:dyDescent="0.3">
      <c r="B13" s="107" t="s">
        <v>114</v>
      </c>
      <c r="C13" s="117">
        <v>0.25</v>
      </c>
      <c r="D13" s="117">
        <v>0.05</v>
      </c>
      <c r="E13" s="117">
        <v>0.23</v>
      </c>
      <c r="F13" s="117">
        <v>0.26500000000000001</v>
      </c>
      <c r="G13" s="117">
        <v>0.14000000000000001</v>
      </c>
      <c r="H13" s="117">
        <v>0.12</v>
      </c>
    </row>
    <row r="14" spans="1:8" ht="15.6" x14ac:dyDescent="0.3">
      <c r="B14" s="103"/>
      <c r="C14" s="104"/>
      <c r="D14" s="103"/>
      <c r="E14" s="104"/>
      <c r="F14" s="104"/>
      <c r="G14" s="145"/>
    </row>
    <row r="15" spans="1:8" ht="15.6" x14ac:dyDescent="0.3">
      <c r="B15" s="103"/>
      <c r="C15" s="104"/>
      <c r="D15" s="103"/>
      <c r="E15" s="104"/>
      <c r="F15" s="104"/>
      <c r="G15" s="145"/>
    </row>
    <row r="16" spans="1:8" ht="15.6" x14ac:dyDescent="0.3">
      <c r="B16" s="94" t="s">
        <v>817</v>
      </c>
      <c r="C16" s="94">
        <v>2020</v>
      </c>
      <c r="D16" s="94">
        <v>2021</v>
      </c>
      <c r="E16" s="94">
        <v>2022</v>
      </c>
      <c r="F16" s="94">
        <v>2023</v>
      </c>
      <c r="G16" s="94">
        <v>2024</v>
      </c>
      <c r="H16" s="102">
        <v>2025</v>
      </c>
    </row>
    <row r="17" spans="2:8" ht="15.6" x14ac:dyDescent="0.3">
      <c r="B17" s="107" t="s">
        <v>120</v>
      </c>
      <c r="C17" s="118">
        <v>0.31747747516868452</v>
      </c>
      <c r="D17" s="118">
        <v>0.18476421524045442</v>
      </c>
      <c r="E17" s="118">
        <v>0.25658408808382172</v>
      </c>
      <c r="F17" s="118">
        <v>0.1</v>
      </c>
      <c r="G17" s="118">
        <v>0.39</v>
      </c>
      <c r="H17" s="117">
        <v>0.19</v>
      </c>
    </row>
    <row r="18" spans="2:8" ht="15.6" x14ac:dyDescent="0.3">
      <c r="B18" s="107" t="s">
        <v>121</v>
      </c>
      <c r="C18" s="118">
        <v>0.28634176969572717</v>
      </c>
      <c r="D18" s="118">
        <v>0.38491386690563495</v>
      </c>
      <c r="E18" s="118">
        <v>0.35348961108151306</v>
      </c>
      <c r="F18" s="118">
        <v>0.69</v>
      </c>
      <c r="G18" s="118">
        <v>0.33</v>
      </c>
      <c r="H18" s="117">
        <v>0.4</v>
      </c>
    </row>
    <row r="19" spans="2:8" ht="15.6" x14ac:dyDescent="0.3">
      <c r="B19" s="107" t="s">
        <v>123</v>
      </c>
      <c r="C19" s="118">
        <v>0.18423774359950648</v>
      </c>
      <c r="D19" s="118">
        <v>0.31768402373969062</v>
      </c>
      <c r="E19" s="118">
        <v>0.31446190729888118</v>
      </c>
      <c r="F19" s="118">
        <v>0.15</v>
      </c>
      <c r="G19" s="118">
        <v>0.17</v>
      </c>
      <c r="H19" s="117">
        <v>0.16</v>
      </c>
    </row>
    <row r="20" spans="2:8" ht="15.6" x14ac:dyDescent="0.3">
      <c r="B20" s="107" t="s">
        <v>125</v>
      </c>
      <c r="C20" s="118">
        <v>0.14050332609658678</v>
      </c>
      <c r="D20" s="118">
        <v>3.1131104198029402E-2</v>
      </c>
      <c r="E20" s="118">
        <v>0</v>
      </c>
      <c r="F20" s="118">
        <v>0.02</v>
      </c>
      <c r="G20" s="118">
        <v>0.05</v>
      </c>
      <c r="H20" s="117">
        <v>0.02</v>
      </c>
    </row>
    <row r="21" spans="2:8" ht="15.6" x14ac:dyDescent="0.3">
      <c r="B21" s="107" t="s">
        <v>127</v>
      </c>
      <c r="C21" s="118">
        <v>7.1439685439495068E-2</v>
      </c>
      <c r="D21" s="118">
        <v>8.150678991619062E-2</v>
      </c>
      <c r="E21" s="118">
        <v>7.5464393535784047E-2</v>
      </c>
      <c r="F21" s="118">
        <v>0.04</v>
      </c>
      <c r="G21" s="118">
        <v>0.06</v>
      </c>
      <c r="H21" s="117">
        <v>0.18</v>
      </c>
    </row>
    <row r="22" spans="2:8" ht="15.6" x14ac:dyDescent="0.3">
      <c r="B22" s="107" t="s">
        <v>868</v>
      </c>
      <c r="C22" s="117" t="s">
        <v>253</v>
      </c>
      <c r="D22" s="117" t="s">
        <v>253</v>
      </c>
      <c r="E22" s="117" t="s">
        <v>253</v>
      </c>
      <c r="F22" s="117" t="s">
        <v>253</v>
      </c>
      <c r="G22" s="117" t="s">
        <v>253</v>
      </c>
      <c r="H22" s="118">
        <v>0.05</v>
      </c>
    </row>
    <row r="24" spans="2:8" x14ac:dyDescent="0.3">
      <c r="B24" t="s">
        <v>861</v>
      </c>
    </row>
    <row r="26" spans="2:8" x14ac:dyDescent="0.3">
      <c r="B26" t="s">
        <v>862</v>
      </c>
    </row>
    <row r="28" spans="2:8" x14ac:dyDescent="0.3">
      <c r="B28" t="s">
        <v>863</v>
      </c>
    </row>
    <row r="30" spans="2:8" x14ac:dyDescent="0.3">
      <c r="B30" t="s">
        <v>864</v>
      </c>
    </row>
    <row r="32" spans="2:8" x14ac:dyDescent="0.3">
      <c r="B32" t="s">
        <v>865</v>
      </c>
    </row>
    <row r="34" spans="2:2" x14ac:dyDescent="0.3">
      <c r="B34" t="s">
        <v>866</v>
      </c>
    </row>
    <row r="36" spans="2:2" x14ac:dyDescent="0.3">
      <c r="B36" t="s">
        <v>867</v>
      </c>
    </row>
  </sheetData>
  <sheetProtection formatCells="0" formatColumns="0" insertColumns="0" insertRows="0" insertHyperlinks="0" deleteColumns="0" deleteRows="0"/>
  <mergeCells count="1">
    <mergeCell ref="B4:H4"/>
  </mergeCells>
  <hyperlinks>
    <hyperlink ref="A1" location="'Table of Contents'!A1" display="Back to Table of Contents" xr:uid="{9801C8ED-7625-4991-9039-70CC174B2701}"/>
  </hyperlinks>
  <pageMargins left="0.23622047244094491" right="0.23622047244094491" top="0.74803149606299213" bottom="0.74803149606299213" header="0.31496062992125984" footer="0.31496062992125984"/>
  <pageSetup paperSize="9" scale="87" orientation="landscape" r:id="rId1"/>
  <headerFooter>
    <oddHeader>&amp;LSustainability Data Pack 2022&amp;CRHI Magnesita&amp;R&amp;G</oddHeader>
    <oddFooter>&amp;R&amp;P/&amp;N</oddFooter>
  </headerFooter>
  <drawing r:id="rId2"/>
  <legacyDrawingHF r:id="rId3"/>
  <picture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6615A-648F-413C-AC0A-0C6FAB4B0B48}">
  <dimension ref="A1:F43"/>
  <sheetViews>
    <sheetView showGridLines="0" topLeftCell="B1" zoomScale="99" zoomScaleNormal="99" workbookViewId="0">
      <selection activeCell="B3" sqref="B3:E3"/>
    </sheetView>
  </sheetViews>
  <sheetFormatPr baseColWidth="10" defaultColWidth="11.5546875" defaultRowHeight="14.4" x14ac:dyDescent="0.3"/>
  <cols>
    <col min="2" max="2" width="59.44140625" bestFit="1" customWidth="1"/>
  </cols>
  <sheetData>
    <row r="1" spans="1:5" x14ac:dyDescent="0.3">
      <c r="A1" s="724" t="s">
        <v>883</v>
      </c>
    </row>
    <row r="2" spans="1:5" x14ac:dyDescent="0.3">
      <c r="A2" s="724"/>
    </row>
    <row r="3" spans="1:5" ht="25.2" x14ac:dyDescent="0.3">
      <c r="B3" s="741" t="s">
        <v>902</v>
      </c>
      <c r="C3" s="741" t="s">
        <v>902</v>
      </c>
      <c r="D3" s="741"/>
      <c r="E3" s="741"/>
    </row>
    <row r="23" spans="2:6" ht="15" thickBot="1" x14ac:dyDescent="0.35"/>
    <row r="24" spans="2:6" ht="15.6" x14ac:dyDescent="0.3">
      <c r="B24" s="728" t="s">
        <v>903</v>
      </c>
      <c r="C24" s="729">
        <v>2023</v>
      </c>
      <c r="D24" s="729">
        <v>2024</v>
      </c>
      <c r="E24" s="729" t="s">
        <v>541</v>
      </c>
      <c r="F24" s="729" t="s">
        <v>904</v>
      </c>
    </row>
    <row r="25" spans="2:6" x14ac:dyDescent="0.3">
      <c r="B25" t="s">
        <v>905</v>
      </c>
      <c r="C25" s="130">
        <v>0.41</v>
      </c>
      <c r="D25" s="130">
        <v>0.55000000000000004</v>
      </c>
      <c r="E25" s="130">
        <v>0.66</v>
      </c>
      <c r="F25" s="130">
        <v>0.8</v>
      </c>
    </row>
    <row r="26" spans="2:6" x14ac:dyDescent="0.3">
      <c r="B26" s="730" t="s">
        <v>906</v>
      </c>
      <c r="C26" s="130"/>
      <c r="D26" s="130"/>
      <c r="E26" s="130"/>
      <c r="F26" s="130"/>
    </row>
    <row r="27" spans="2:6" ht="15" thickBot="1" x14ac:dyDescent="0.35">
      <c r="C27" s="130"/>
      <c r="D27" s="130"/>
      <c r="E27" s="130"/>
      <c r="F27" s="130"/>
    </row>
    <row r="28" spans="2:6" ht="15.6" x14ac:dyDescent="0.3">
      <c r="B28" s="728" t="s">
        <v>907</v>
      </c>
      <c r="C28" s="729">
        <v>2023</v>
      </c>
      <c r="D28" s="729">
        <v>2024</v>
      </c>
      <c r="E28" s="729">
        <v>2025</v>
      </c>
      <c r="F28" s="130"/>
    </row>
    <row r="29" spans="2:6" x14ac:dyDescent="0.3">
      <c r="B29" t="s">
        <v>123</v>
      </c>
      <c r="C29" s="130">
        <v>0.47</v>
      </c>
      <c r="D29" s="130">
        <v>0.59</v>
      </c>
      <c r="E29" s="130">
        <v>0.67</v>
      </c>
      <c r="F29" s="130"/>
    </row>
    <row r="30" spans="2:6" x14ac:dyDescent="0.3">
      <c r="B30" t="s">
        <v>120</v>
      </c>
      <c r="C30" s="130">
        <v>0.45</v>
      </c>
      <c r="D30" s="130">
        <v>0.56000000000000005</v>
      </c>
      <c r="E30" s="130">
        <v>0.67</v>
      </c>
      <c r="F30" s="130"/>
    </row>
    <row r="31" spans="2:6" x14ac:dyDescent="0.3">
      <c r="B31" t="s">
        <v>239</v>
      </c>
      <c r="C31" s="130">
        <v>0.44</v>
      </c>
      <c r="D31" s="130">
        <v>0.51</v>
      </c>
      <c r="E31" s="731">
        <v>0.51</v>
      </c>
      <c r="F31" s="130"/>
    </row>
    <row r="32" spans="2:6" x14ac:dyDescent="0.3">
      <c r="B32" t="s">
        <v>908</v>
      </c>
      <c r="C32" s="130">
        <v>0.28999999999999998</v>
      </c>
      <c r="D32" s="130">
        <v>0.5</v>
      </c>
      <c r="E32" s="130">
        <v>0.66</v>
      </c>
      <c r="F32" s="130"/>
    </row>
    <row r="33" spans="2:5" ht="8.4" customHeight="1" x14ac:dyDescent="0.3"/>
    <row r="34" spans="2:5" x14ac:dyDescent="0.3">
      <c r="B34" s="732" t="s">
        <v>910</v>
      </c>
    </row>
    <row r="35" spans="2:5" ht="15" thickBot="1" x14ac:dyDescent="0.35">
      <c r="B35" s="732"/>
    </row>
    <row r="36" spans="2:5" ht="15.6" x14ac:dyDescent="0.3">
      <c r="B36" s="728" t="s">
        <v>909</v>
      </c>
      <c r="C36" s="729">
        <v>2023</v>
      </c>
      <c r="D36" s="729">
        <v>2024</v>
      </c>
      <c r="E36" s="729">
        <v>2025</v>
      </c>
    </row>
    <row r="37" spans="2:5" x14ac:dyDescent="0.3">
      <c r="B37" t="s">
        <v>123</v>
      </c>
      <c r="C37">
        <v>7</v>
      </c>
      <c r="D37">
        <v>8</v>
      </c>
      <c r="E37">
        <v>6</v>
      </c>
    </row>
    <row r="38" spans="2:5" x14ac:dyDescent="0.3">
      <c r="B38" t="s">
        <v>120</v>
      </c>
      <c r="C38">
        <v>5</v>
      </c>
      <c r="D38">
        <v>9</v>
      </c>
      <c r="E38">
        <v>10</v>
      </c>
    </row>
    <row r="39" spans="2:5" x14ac:dyDescent="0.3">
      <c r="B39" t="s">
        <v>239</v>
      </c>
      <c r="C39">
        <v>4</v>
      </c>
      <c r="D39">
        <v>5</v>
      </c>
      <c r="E39">
        <v>1</v>
      </c>
    </row>
    <row r="40" spans="2:5" x14ac:dyDescent="0.3">
      <c r="B40" t="s">
        <v>124</v>
      </c>
      <c r="C40">
        <v>10</v>
      </c>
      <c r="D40">
        <v>10</v>
      </c>
      <c r="E40">
        <v>10</v>
      </c>
    </row>
    <row r="41" spans="2:5" x14ac:dyDescent="0.3">
      <c r="B41" t="s">
        <v>121</v>
      </c>
      <c r="C41">
        <v>16</v>
      </c>
      <c r="D41">
        <v>15</v>
      </c>
      <c r="E41">
        <v>40</v>
      </c>
    </row>
    <row r="42" spans="2:5" x14ac:dyDescent="0.3">
      <c r="B42" t="s">
        <v>912</v>
      </c>
      <c r="C42">
        <v>0</v>
      </c>
      <c r="D42">
        <v>5</v>
      </c>
      <c r="E42">
        <v>1</v>
      </c>
    </row>
    <row r="43" spans="2:5" x14ac:dyDescent="0.3">
      <c r="B43" t="s">
        <v>44</v>
      </c>
      <c r="C43">
        <f>SUM(C37:C42)</f>
        <v>42</v>
      </c>
      <c r="D43">
        <f>SUM(D37:D42)</f>
        <v>52</v>
      </c>
      <c r="E43">
        <f>SUM(E37:E42)</f>
        <v>68</v>
      </c>
    </row>
  </sheetData>
  <mergeCells count="1">
    <mergeCell ref="B3:E3"/>
  </mergeCells>
  <hyperlinks>
    <hyperlink ref="A1" location="'Table of Contents'!A1" display="Back to Table of Contents" xr:uid="{89D29C4B-201E-4565-9850-0355B21DF138}"/>
  </hyperlinks>
  <pageMargins left="0.7" right="0.7" top="0.78740157499999996" bottom="0.78740157499999996" header="0.3" footer="0.3"/>
  <headerFooter>
    <oddHeader>&amp;L&amp;"Aptos"&amp;10&amp;K000000 Sensitivity: Internal&amp;1#_x000D_</oddHead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02FDA-BB8B-488A-9D05-052F67E477B9}">
  <dimension ref="A1:D24"/>
  <sheetViews>
    <sheetView showGridLines="0" zoomScaleNormal="100" workbookViewId="0">
      <selection activeCell="B3" sqref="B3:D3"/>
    </sheetView>
  </sheetViews>
  <sheetFormatPr baseColWidth="10" defaultColWidth="11.5546875" defaultRowHeight="14.4" x14ac:dyDescent="0.3"/>
  <cols>
    <col min="2" max="2" width="101.109375" bestFit="1" customWidth="1"/>
  </cols>
  <sheetData>
    <row r="1" spans="1:4" x14ac:dyDescent="0.3">
      <c r="A1" s="724" t="s">
        <v>883</v>
      </c>
    </row>
    <row r="2" spans="1:4" x14ac:dyDescent="0.3">
      <c r="A2" s="724"/>
    </row>
    <row r="3" spans="1:4" ht="25.2" x14ac:dyDescent="0.3">
      <c r="B3" s="741" t="s">
        <v>926</v>
      </c>
      <c r="C3" s="741"/>
      <c r="D3" s="741"/>
    </row>
    <row r="6" spans="1:4" ht="15" thickBot="1" x14ac:dyDescent="0.35"/>
    <row r="7" spans="1:4" ht="17.399999999999999" x14ac:dyDescent="0.3">
      <c r="B7" s="728" t="s">
        <v>923</v>
      </c>
      <c r="C7" s="729">
        <v>2024</v>
      </c>
      <c r="D7" s="729" t="s">
        <v>914</v>
      </c>
    </row>
    <row r="8" spans="1:4" x14ac:dyDescent="0.3">
      <c r="B8" t="s">
        <v>916</v>
      </c>
      <c r="C8" s="127">
        <v>109</v>
      </c>
      <c r="D8" s="733">
        <v>107</v>
      </c>
    </row>
    <row r="9" spans="1:4" x14ac:dyDescent="0.3">
      <c r="B9" t="s">
        <v>925</v>
      </c>
      <c r="C9" s="127">
        <v>54</v>
      </c>
      <c r="D9" s="733">
        <v>67</v>
      </c>
    </row>
    <row r="10" spans="1:4" x14ac:dyDescent="0.3">
      <c r="B10" t="s">
        <v>924</v>
      </c>
      <c r="C10" s="127">
        <v>0</v>
      </c>
      <c r="D10" s="733">
        <v>0</v>
      </c>
    </row>
    <row r="11" spans="1:4" x14ac:dyDescent="0.3">
      <c r="B11" t="s">
        <v>918</v>
      </c>
      <c r="C11" s="127">
        <v>211</v>
      </c>
      <c r="D11" s="733">
        <v>146</v>
      </c>
    </row>
    <row r="12" spans="1:4" x14ac:dyDescent="0.3">
      <c r="B12" s="735" t="s">
        <v>919</v>
      </c>
      <c r="C12">
        <v>184</v>
      </c>
      <c r="D12" s="733">
        <v>137</v>
      </c>
    </row>
    <row r="13" spans="1:4" ht="16.2" x14ac:dyDescent="0.3">
      <c r="B13" s="735" t="s">
        <v>921</v>
      </c>
      <c r="C13" s="734">
        <v>27</v>
      </c>
      <c r="D13" s="733">
        <v>9</v>
      </c>
    </row>
    <row r="14" spans="1:4" x14ac:dyDescent="0.3">
      <c r="B14" s="735" t="s">
        <v>920</v>
      </c>
      <c r="C14" s="127">
        <v>6</v>
      </c>
      <c r="D14" s="733">
        <v>5</v>
      </c>
    </row>
    <row r="15" spans="1:4" x14ac:dyDescent="0.3">
      <c r="B15" s="736" t="s">
        <v>913</v>
      </c>
      <c r="C15" s="127"/>
      <c r="D15" s="733"/>
    </row>
    <row r="16" spans="1:4" x14ac:dyDescent="0.3">
      <c r="B16" s="735" t="s">
        <v>681</v>
      </c>
      <c r="C16" s="130">
        <v>0.96</v>
      </c>
      <c r="D16" s="130">
        <v>0.95</v>
      </c>
    </row>
    <row r="17" spans="2:4" x14ac:dyDescent="0.3">
      <c r="B17" s="735" t="s">
        <v>127</v>
      </c>
      <c r="C17" s="130">
        <v>0.95</v>
      </c>
      <c r="D17" s="130">
        <v>0.94</v>
      </c>
    </row>
    <row r="18" spans="2:4" x14ac:dyDescent="0.3">
      <c r="B18" s="735" t="s">
        <v>120</v>
      </c>
      <c r="C18" s="130">
        <v>0.95</v>
      </c>
      <c r="D18" s="130">
        <v>0.94</v>
      </c>
    </row>
    <row r="19" spans="2:4" x14ac:dyDescent="0.3">
      <c r="B19" s="735" t="s">
        <v>254</v>
      </c>
      <c r="C19" s="130">
        <v>1</v>
      </c>
      <c r="D19" s="130">
        <v>1</v>
      </c>
    </row>
    <row r="20" spans="2:4" x14ac:dyDescent="0.3">
      <c r="B20" s="735" t="s">
        <v>121</v>
      </c>
      <c r="C20" s="130">
        <v>0.96</v>
      </c>
      <c r="D20" s="130">
        <v>0.95</v>
      </c>
    </row>
    <row r="21" spans="2:4" x14ac:dyDescent="0.3">
      <c r="B21" s="735" t="s">
        <v>917</v>
      </c>
      <c r="C21" s="5" t="s">
        <v>686</v>
      </c>
      <c r="D21" s="130">
        <v>0.91</v>
      </c>
    </row>
    <row r="22" spans="2:4" x14ac:dyDescent="0.3">
      <c r="C22" s="127"/>
      <c r="D22" s="733"/>
    </row>
    <row r="23" spans="2:4" ht="48" customHeight="1" x14ac:dyDescent="0.3">
      <c r="B23" s="819" t="s">
        <v>915</v>
      </c>
      <c r="C23" s="819"/>
      <c r="D23" s="819"/>
    </row>
    <row r="24" spans="2:4" ht="57.6" customHeight="1" x14ac:dyDescent="0.3">
      <c r="B24" s="819" t="s">
        <v>922</v>
      </c>
      <c r="C24" s="819"/>
      <c r="D24" s="819"/>
    </row>
  </sheetData>
  <mergeCells count="3">
    <mergeCell ref="B3:D3"/>
    <mergeCell ref="B23:D23"/>
    <mergeCell ref="B24:D24"/>
  </mergeCells>
  <hyperlinks>
    <hyperlink ref="A1" location="'Table of Contents'!A1" display="Back to Table of Contents" xr:uid="{21C70E6E-E0E7-4695-8150-0EB4C23C313B}"/>
  </hyperlinks>
  <pageMargins left="0.7" right="0.7" top="0.78740157499999996" bottom="0.78740157499999996" header="0.3" footer="0.3"/>
  <headerFooter>
    <oddHeader>&amp;L&amp;"Aptos"&amp;10&amp;K000000 Sensitivity: Internal&amp;1#_x000D_</oddHead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7871E-BC6B-474E-9DE8-44690C10E3B7}">
  <sheetPr>
    <pageSetUpPr fitToPage="1"/>
  </sheetPr>
  <dimension ref="A1:I15"/>
  <sheetViews>
    <sheetView showGridLines="0" zoomScale="85" zoomScaleNormal="85" workbookViewId="0">
      <selection activeCell="A2" sqref="A2:F2"/>
    </sheetView>
  </sheetViews>
  <sheetFormatPr baseColWidth="10" defaultColWidth="8.44140625" defaultRowHeight="14.4" x14ac:dyDescent="0.3"/>
  <cols>
    <col min="1" max="1" width="4.88671875" customWidth="1"/>
    <col min="2" max="2" width="28.44140625" customWidth="1"/>
    <col min="3" max="4" width="42.44140625" customWidth="1"/>
    <col min="5" max="5" width="64.6640625" customWidth="1"/>
    <col min="6" max="6" width="81.109375" customWidth="1"/>
  </cols>
  <sheetData>
    <row r="1" spans="1:9" x14ac:dyDescent="0.3">
      <c r="A1" s="724" t="s">
        <v>883</v>
      </c>
    </row>
    <row r="2" spans="1:9" ht="25.2" x14ac:dyDescent="0.45">
      <c r="A2" s="818" t="s">
        <v>888</v>
      </c>
      <c r="B2" s="818"/>
      <c r="C2" s="818"/>
      <c r="D2" s="818"/>
      <c r="E2" s="818"/>
      <c r="F2" s="818"/>
      <c r="G2" s="6"/>
      <c r="H2" s="6"/>
    </row>
    <row r="4" spans="1:9" s="30" customFormat="1" ht="27" customHeight="1" x14ac:dyDescent="0.3">
      <c r="B4" s="704" t="s">
        <v>170</v>
      </c>
      <c r="C4" s="704" t="s">
        <v>171</v>
      </c>
      <c r="D4" s="704" t="s">
        <v>172</v>
      </c>
      <c r="E4" s="704" t="s">
        <v>173</v>
      </c>
      <c r="F4" s="704" t="s">
        <v>174</v>
      </c>
    </row>
    <row r="5" spans="1:9" ht="174.6" customHeight="1" x14ac:dyDescent="0.3">
      <c r="B5" s="87" t="s">
        <v>825</v>
      </c>
      <c r="C5" s="87" t="s">
        <v>821</v>
      </c>
      <c r="D5" s="87" t="s">
        <v>819</v>
      </c>
      <c r="E5" s="87" t="s">
        <v>820</v>
      </c>
      <c r="F5" s="87" t="s">
        <v>822</v>
      </c>
    </row>
    <row r="6" spans="1:9" ht="139.80000000000001" customHeight="1" x14ac:dyDescent="0.3">
      <c r="B6" s="88" t="s">
        <v>175</v>
      </c>
      <c r="C6" s="89" t="s">
        <v>833</v>
      </c>
      <c r="D6" s="89" t="s">
        <v>834</v>
      </c>
      <c r="E6" s="89" t="s">
        <v>835</v>
      </c>
      <c r="F6" s="89" t="s">
        <v>836</v>
      </c>
    </row>
    <row r="7" spans="1:9" ht="69" x14ac:dyDescent="0.3">
      <c r="B7" s="88" t="s">
        <v>176</v>
      </c>
      <c r="C7" s="89" t="s">
        <v>827</v>
      </c>
      <c r="D7" s="89" t="s">
        <v>823</v>
      </c>
      <c r="E7" s="89" t="s">
        <v>177</v>
      </c>
      <c r="F7" s="87" t="s">
        <v>824</v>
      </c>
      <c r="I7" s="2"/>
    </row>
    <row r="8" spans="1:9" ht="208.8" customHeight="1" x14ac:dyDescent="0.3">
      <c r="B8" s="89" t="s">
        <v>826</v>
      </c>
      <c r="C8" s="89" t="s">
        <v>828</v>
      </c>
      <c r="D8" s="89" t="s">
        <v>831</v>
      </c>
      <c r="E8" s="89" t="s">
        <v>829</v>
      </c>
      <c r="F8" s="89" t="s">
        <v>830</v>
      </c>
      <c r="I8" s="2"/>
    </row>
    <row r="9" spans="1:9" ht="69" x14ac:dyDescent="0.3">
      <c r="B9" s="89" t="s">
        <v>178</v>
      </c>
      <c r="C9" s="89" t="s">
        <v>832</v>
      </c>
      <c r="D9" s="89" t="s">
        <v>93</v>
      </c>
      <c r="E9" s="89" t="s">
        <v>179</v>
      </c>
      <c r="F9" s="89" t="s">
        <v>843</v>
      </c>
      <c r="I9" s="2"/>
    </row>
    <row r="10" spans="1:9" ht="110.4" x14ac:dyDescent="0.3">
      <c r="B10" s="89" t="s">
        <v>180</v>
      </c>
      <c r="C10" s="89" t="s">
        <v>838</v>
      </c>
      <c r="D10" s="89" t="s">
        <v>837</v>
      </c>
      <c r="E10" s="89" t="s">
        <v>181</v>
      </c>
      <c r="F10" s="89" t="s">
        <v>839</v>
      </c>
    </row>
    <row r="11" spans="1:9" ht="58.8" customHeight="1" x14ac:dyDescent="0.3">
      <c r="B11" s="89" t="s">
        <v>182</v>
      </c>
      <c r="C11" s="89" t="s">
        <v>840</v>
      </c>
      <c r="D11" s="89" t="s">
        <v>841</v>
      </c>
      <c r="E11" s="89" t="s">
        <v>183</v>
      </c>
      <c r="F11" s="89" t="s">
        <v>842</v>
      </c>
    </row>
    <row r="12" spans="1:9" ht="115.8" customHeight="1" x14ac:dyDescent="0.3">
      <c r="B12" s="89" t="s">
        <v>184</v>
      </c>
      <c r="C12" s="89" t="s">
        <v>845</v>
      </c>
      <c r="D12" s="89" t="s">
        <v>844</v>
      </c>
      <c r="E12" s="89" t="s">
        <v>850</v>
      </c>
      <c r="F12" s="89" t="s">
        <v>846</v>
      </c>
    </row>
    <row r="13" spans="1:9" ht="208.2" customHeight="1" x14ac:dyDescent="0.3">
      <c r="B13" s="88" t="s">
        <v>185</v>
      </c>
      <c r="C13" s="89" t="s">
        <v>847</v>
      </c>
      <c r="D13" s="89" t="s">
        <v>848</v>
      </c>
      <c r="E13" s="89" t="s">
        <v>849</v>
      </c>
      <c r="F13" s="87" t="s">
        <v>851</v>
      </c>
    </row>
    <row r="14" spans="1:9" ht="55.2" x14ac:dyDescent="0.3">
      <c r="B14" s="90" t="s">
        <v>186</v>
      </c>
      <c r="C14" s="87" t="s">
        <v>852</v>
      </c>
      <c r="D14" s="87" t="s">
        <v>853</v>
      </c>
      <c r="E14" s="87" t="s">
        <v>854</v>
      </c>
      <c r="F14" s="87" t="s">
        <v>855</v>
      </c>
    </row>
    <row r="15" spans="1:9" ht="69" x14ac:dyDescent="0.3">
      <c r="B15" s="87" t="s">
        <v>187</v>
      </c>
      <c r="C15" s="87" t="s">
        <v>856</v>
      </c>
      <c r="D15" s="87" t="s">
        <v>857</v>
      </c>
      <c r="E15" s="87" t="s">
        <v>188</v>
      </c>
      <c r="F15" s="87" t="s">
        <v>207</v>
      </c>
    </row>
  </sheetData>
  <sheetProtection formatCells="0" formatColumns="0" formatRows="0" insertColumns="0" insertRows="0" insertHyperlinks="0" deleteColumns="0" deleteRows="0"/>
  <mergeCells count="1">
    <mergeCell ref="A2:F2"/>
  </mergeCells>
  <phoneticPr fontId="33" type="noConversion"/>
  <hyperlinks>
    <hyperlink ref="A1" location="'Table of Contents'!A1" display="Back to Table of Contents" xr:uid="{396376BD-717F-4D90-AC6A-59BAA73D8732}"/>
  </hyperlinks>
  <pageMargins left="0.7" right="0.7" top="0.75" bottom="0.75" header="0.3" footer="0.3"/>
  <pageSetup paperSize="9" scale="63" orientation="landscape" r:id="rId1"/>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A77F7-75C9-4ABD-8B39-A7BF60140047}">
  <sheetPr>
    <pageSetUpPr fitToPage="1"/>
  </sheetPr>
  <dimension ref="B4:H40"/>
  <sheetViews>
    <sheetView showGridLines="0" zoomScale="85" zoomScaleNormal="85" workbookViewId="0">
      <selection activeCell="B7" sqref="B7"/>
    </sheetView>
  </sheetViews>
  <sheetFormatPr baseColWidth="10" defaultColWidth="8.44140625" defaultRowHeight="14.4" x14ac:dyDescent="0.3"/>
  <cols>
    <col min="1" max="1" width="11.33203125" customWidth="1"/>
    <col min="2" max="2" width="103.109375" style="86" customWidth="1"/>
  </cols>
  <sheetData>
    <row r="4" spans="2:8" ht="14.4" customHeight="1" x14ac:dyDescent="0.3">
      <c r="C4" s="71"/>
      <c r="D4" s="71"/>
      <c r="E4" s="71"/>
      <c r="F4" s="71"/>
      <c r="G4" s="71"/>
      <c r="H4" s="71"/>
    </row>
    <row r="7" spans="2:8" ht="29.4" customHeight="1" x14ac:dyDescent="0.55000000000000004">
      <c r="B7" s="712" t="s">
        <v>15</v>
      </c>
    </row>
    <row r="8" spans="2:8" ht="14.4" customHeight="1" x14ac:dyDescent="0.3">
      <c r="B8" s="709"/>
    </row>
    <row r="9" spans="2:8" ht="14.4" customHeight="1" x14ac:dyDescent="0.3">
      <c r="B9" s="709"/>
    </row>
    <row r="10" spans="2:8" ht="374.4" customHeight="1" x14ac:dyDescent="0.3">
      <c r="B10" s="710" t="s">
        <v>928</v>
      </c>
    </row>
    <row r="11" spans="2:8" ht="14.4" customHeight="1" x14ac:dyDescent="0.3"/>
    <row r="12" spans="2:8" ht="14.4" customHeight="1" x14ac:dyDescent="0.3"/>
    <row r="13" spans="2:8" ht="14.4" customHeight="1" x14ac:dyDescent="0.3"/>
    <row r="14" spans="2:8" ht="14.4" customHeight="1" x14ac:dyDescent="0.3"/>
    <row r="15" spans="2:8" ht="14.4" customHeight="1" x14ac:dyDescent="0.3"/>
    <row r="16" spans="2:8" ht="14.4" customHeight="1" x14ac:dyDescent="0.3"/>
    <row r="17" ht="14.4" customHeight="1" x14ac:dyDescent="0.3"/>
    <row r="18" ht="14.4" customHeight="1" x14ac:dyDescent="0.3"/>
    <row r="19" ht="14.4" customHeight="1" x14ac:dyDescent="0.3"/>
    <row r="20" ht="14.4" customHeight="1" x14ac:dyDescent="0.3"/>
    <row r="21" ht="14.4" customHeight="1" x14ac:dyDescent="0.3"/>
    <row r="22" ht="14.4" customHeight="1" x14ac:dyDescent="0.3"/>
    <row r="23" ht="14.4" customHeight="1" x14ac:dyDescent="0.3"/>
    <row r="24" ht="14.4" customHeight="1" x14ac:dyDescent="0.3"/>
    <row r="25" ht="14.4" customHeight="1" x14ac:dyDescent="0.3"/>
    <row r="26" ht="14.4" customHeight="1" x14ac:dyDescent="0.3"/>
    <row r="27" ht="14.4" customHeight="1" x14ac:dyDescent="0.3"/>
    <row r="28" ht="14.4" customHeight="1" x14ac:dyDescent="0.3"/>
    <row r="29" ht="14.4" customHeight="1" x14ac:dyDescent="0.3"/>
    <row r="30" ht="14.4" customHeight="1" x14ac:dyDescent="0.3"/>
    <row r="31" ht="14.4" customHeight="1" x14ac:dyDescent="0.3"/>
    <row r="32" ht="14.4" customHeight="1" x14ac:dyDescent="0.3"/>
    <row r="33" ht="14.4" customHeight="1" x14ac:dyDescent="0.3"/>
    <row r="34" ht="14.4" customHeight="1" x14ac:dyDescent="0.3"/>
    <row r="35" ht="14.4" customHeight="1" x14ac:dyDescent="0.3"/>
    <row r="36" ht="14.4" customHeight="1" x14ac:dyDescent="0.3"/>
    <row r="37" ht="14.4" customHeight="1" x14ac:dyDescent="0.3"/>
    <row r="38" ht="14.4" customHeight="1" x14ac:dyDescent="0.3"/>
    <row r="39" ht="14.4" customHeight="1" x14ac:dyDescent="0.3"/>
    <row r="40" ht="14.4" customHeight="1" x14ac:dyDescent="0.3"/>
  </sheetData>
  <pageMargins left="0.23622047244094491" right="0.23622047244094491" top="0.74803149606299213" bottom="0.74803149606299213" header="0.31496062992125984" footer="0.31496062992125984"/>
  <pageSetup paperSize="9" scale="77" orientation="landscape" r:id="rId1"/>
  <headerFooter>
    <oddHeader>&amp;LSustainability Data Pack 2022&amp;CRHI Magnesita&amp;R&amp;G</oddHeader>
    <oddFooter>&amp;R&amp;P/&amp;N</oddFooter>
  </headerFooter>
  <drawing r:id="rId2"/>
  <legacyDrawingHF r:id="rId3"/>
  <picture r:id="rId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65F97-4674-4472-91E1-32CAAEF04C53}">
  <dimension ref="B2:C29"/>
  <sheetViews>
    <sheetView zoomScale="84" zoomScaleNormal="84" workbookViewId="0">
      <selection activeCell="U25" sqref="U25"/>
    </sheetView>
  </sheetViews>
  <sheetFormatPr baseColWidth="10" defaultColWidth="8.88671875" defaultRowHeight="14.4" x14ac:dyDescent="0.3"/>
  <cols>
    <col min="2" max="2" width="22.5546875" customWidth="1"/>
    <col min="3" max="3" width="9.33203125" bestFit="1" customWidth="1"/>
  </cols>
  <sheetData>
    <row r="2" spans="2:3" x14ac:dyDescent="0.3">
      <c r="C2">
        <v>2024</v>
      </c>
    </row>
    <row r="3" spans="2:3" ht="28.8" x14ac:dyDescent="0.3">
      <c r="B3" s="125" t="s">
        <v>453</v>
      </c>
      <c r="C3" s="127">
        <v>4966</v>
      </c>
    </row>
    <row r="4" spans="2:3" x14ac:dyDescent="0.3">
      <c r="B4" t="s">
        <v>454</v>
      </c>
      <c r="C4" s="127">
        <v>-255.33952555866119</v>
      </c>
    </row>
    <row r="5" spans="2:3" ht="28.8" x14ac:dyDescent="0.3">
      <c r="B5" s="125" t="s">
        <v>455</v>
      </c>
      <c r="C5" s="127">
        <v>-12.569388419003548</v>
      </c>
    </row>
    <row r="6" spans="2:3" x14ac:dyDescent="0.3">
      <c r="B6" t="s">
        <v>456</v>
      </c>
      <c r="C6" s="127">
        <v>277.48605448677046</v>
      </c>
    </row>
    <row r="7" spans="2:3" x14ac:dyDescent="0.3">
      <c r="B7" t="s">
        <v>457</v>
      </c>
      <c r="C7" s="127">
        <v>440.85326279459593</v>
      </c>
    </row>
    <row r="8" spans="2:3" ht="28.8" x14ac:dyDescent="0.3">
      <c r="B8" s="125" t="s">
        <v>458</v>
      </c>
      <c r="C8" s="127">
        <v>74.259947469059853</v>
      </c>
    </row>
    <row r="9" spans="2:3" ht="28.8" x14ac:dyDescent="0.3">
      <c r="B9" s="125" t="s">
        <v>459</v>
      </c>
      <c r="C9" s="81">
        <f>+C3+C4+C5+C6+C7+C8</f>
        <v>5490.690350772762</v>
      </c>
    </row>
    <row r="22" spans="2:3" x14ac:dyDescent="0.3">
      <c r="C22">
        <v>2023</v>
      </c>
    </row>
    <row r="23" spans="2:3" ht="28.8" x14ac:dyDescent="0.3">
      <c r="B23" s="125" t="s">
        <v>453</v>
      </c>
      <c r="C23" s="127">
        <v>4966</v>
      </c>
    </row>
    <row r="24" spans="2:3" x14ac:dyDescent="0.3">
      <c r="B24" t="s">
        <v>454</v>
      </c>
      <c r="C24" s="127">
        <v>-183</v>
      </c>
    </row>
    <row r="25" spans="2:3" ht="28.8" x14ac:dyDescent="0.3">
      <c r="B25" s="125" t="s">
        <v>455</v>
      </c>
      <c r="C25" s="127">
        <v>-12</v>
      </c>
    </row>
    <row r="26" spans="2:3" x14ac:dyDescent="0.3">
      <c r="B26" t="s">
        <v>456</v>
      </c>
      <c r="C26" s="127">
        <v>123</v>
      </c>
    </row>
    <row r="27" spans="2:3" x14ac:dyDescent="0.3">
      <c r="B27" t="s">
        <v>457</v>
      </c>
      <c r="C27" s="127">
        <v>223</v>
      </c>
    </row>
    <row r="28" spans="2:3" ht="28.8" x14ac:dyDescent="0.3">
      <c r="B28" s="125" t="s">
        <v>458</v>
      </c>
      <c r="C28" s="127">
        <v>42</v>
      </c>
    </row>
    <row r="29" spans="2:3" ht="28.8" x14ac:dyDescent="0.3">
      <c r="B29" s="125" t="s">
        <v>459</v>
      </c>
      <c r="C29" s="81">
        <f>+C23+C24+C25+C26+C27+C28</f>
        <v>5159</v>
      </c>
    </row>
  </sheetData>
  <phoneticPr fontId="33" type="noConversion"/>
  <pageMargins left="0.7" right="0.7" top="0.75" bottom="0.75" header="0.3" footer="0.3"/>
  <headerFooter>
    <oddHeader>&amp;L&amp;"Calibri"&amp;10&amp;K000000 Sensitivity: Internal&amp;1#_x000D_</oddHead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8E909D-734F-4DC7-94B3-2A3667A85CCC}">
  <sheetPr>
    <pageSetUpPr fitToPage="1"/>
  </sheetPr>
  <dimension ref="A1:I20"/>
  <sheetViews>
    <sheetView showGridLines="0" zoomScale="85" zoomScaleNormal="85" workbookViewId="0">
      <selection activeCell="B3" sqref="B3:I3"/>
    </sheetView>
  </sheetViews>
  <sheetFormatPr baseColWidth="10" defaultColWidth="8.44140625" defaultRowHeight="14.4" x14ac:dyDescent="0.3"/>
  <cols>
    <col min="1" max="1" width="4.88671875" customWidth="1"/>
    <col min="2" max="2" width="27.44140625" customWidth="1"/>
    <col min="3" max="5" width="14.44140625" customWidth="1"/>
    <col min="6" max="6" width="14" customWidth="1"/>
    <col min="7" max="7" width="11.88671875" customWidth="1"/>
    <col min="8" max="8" width="10.109375" customWidth="1"/>
  </cols>
  <sheetData>
    <row r="1" spans="1:9" x14ac:dyDescent="0.3">
      <c r="A1" s="119" t="s">
        <v>883</v>
      </c>
    </row>
    <row r="3" spans="1:9" ht="25.2" x14ac:dyDescent="0.45">
      <c r="B3" s="818" t="s">
        <v>347</v>
      </c>
      <c r="C3" s="818"/>
      <c r="D3" s="818"/>
      <c r="E3" s="818"/>
      <c r="F3" s="818"/>
      <c r="G3" s="818"/>
      <c r="H3" s="818"/>
      <c r="I3" s="818"/>
    </row>
    <row r="4" spans="1:9" ht="18" x14ac:dyDescent="0.35">
      <c r="B4" s="56"/>
      <c r="C4" s="56"/>
      <c r="D4" s="56"/>
      <c r="E4" s="56"/>
      <c r="F4" s="56"/>
    </row>
    <row r="6" spans="1:9" x14ac:dyDescent="0.3">
      <c r="B6" s="79" t="s">
        <v>189</v>
      </c>
      <c r="C6" s="79">
        <v>2019</v>
      </c>
      <c r="D6" s="79">
        <v>2020</v>
      </c>
      <c r="E6" s="79">
        <v>2021</v>
      </c>
      <c r="F6" s="79">
        <v>2022</v>
      </c>
      <c r="G6" s="79">
        <v>2023</v>
      </c>
      <c r="H6" s="96">
        <v>2024</v>
      </c>
      <c r="I6" s="96">
        <v>2025</v>
      </c>
    </row>
    <row r="7" spans="1:9" x14ac:dyDescent="0.3">
      <c r="B7" s="83" t="s">
        <v>190</v>
      </c>
      <c r="C7" s="84" t="s">
        <v>191</v>
      </c>
      <c r="D7" s="84" t="s">
        <v>192</v>
      </c>
      <c r="E7" s="84" t="s">
        <v>192</v>
      </c>
      <c r="F7" s="84" t="s">
        <v>193</v>
      </c>
      <c r="G7" s="84" t="s">
        <v>193</v>
      </c>
      <c r="H7" s="84" t="s">
        <v>193</v>
      </c>
      <c r="I7" s="84" t="s">
        <v>193</v>
      </c>
    </row>
    <row r="8" spans="1:9" x14ac:dyDescent="0.3">
      <c r="B8" s="83" t="s">
        <v>194</v>
      </c>
      <c r="C8" s="84" t="s">
        <v>195</v>
      </c>
      <c r="D8" s="84" t="s">
        <v>195</v>
      </c>
      <c r="E8" s="84" t="s">
        <v>196</v>
      </c>
      <c r="F8" s="84" t="s">
        <v>196</v>
      </c>
      <c r="G8" s="84" t="s">
        <v>196</v>
      </c>
      <c r="H8" s="84" t="s">
        <v>196</v>
      </c>
      <c r="I8" s="84" t="s">
        <v>196</v>
      </c>
    </row>
    <row r="9" spans="1:9" x14ac:dyDescent="0.3">
      <c r="B9" s="83" t="s">
        <v>197</v>
      </c>
      <c r="C9" s="84"/>
      <c r="D9" s="84" t="s">
        <v>198</v>
      </c>
      <c r="E9" s="84" t="s">
        <v>198</v>
      </c>
      <c r="F9" s="84" t="s">
        <v>198</v>
      </c>
      <c r="G9" s="84" t="s">
        <v>198</v>
      </c>
      <c r="H9" s="84" t="s">
        <v>198</v>
      </c>
      <c r="I9" s="84" t="s">
        <v>198</v>
      </c>
    </row>
    <row r="10" spans="1:9" x14ac:dyDescent="0.3">
      <c r="B10" s="83" t="s">
        <v>199</v>
      </c>
      <c r="C10" s="84"/>
      <c r="D10" s="84"/>
      <c r="E10" s="84" t="s">
        <v>200</v>
      </c>
      <c r="F10" s="84" t="s">
        <v>200</v>
      </c>
      <c r="G10" s="84" t="s">
        <v>200</v>
      </c>
      <c r="H10" s="84" t="s">
        <v>200</v>
      </c>
      <c r="I10" s="84" t="s">
        <v>200</v>
      </c>
    </row>
    <row r="11" spans="1:9" x14ac:dyDescent="0.3">
      <c r="B11" s="83" t="s">
        <v>201</v>
      </c>
      <c r="C11" s="83"/>
      <c r="D11" s="83"/>
      <c r="E11" s="84" t="s">
        <v>202</v>
      </c>
      <c r="F11" s="84" t="s">
        <v>202</v>
      </c>
      <c r="G11" s="84" t="s">
        <v>202</v>
      </c>
      <c r="H11" s="84" t="s">
        <v>202</v>
      </c>
      <c r="I11" s="84" t="s">
        <v>533</v>
      </c>
    </row>
    <row r="12" spans="1:9" ht="99" customHeight="1" x14ac:dyDescent="0.3">
      <c r="B12" s="820" t="s">
        <v>236</v>
      </c>
      <c r="C12" s="820"/>
      <c r="D12" s="820"/>
      <c r="E12" s="820"/>
      <c r="F12" s="820"/>
      <c r="G12" s="820"/>
      <c r="H12" s="820"/>
      <c r="I12" s="820"/>
    </row>
    <row r="13" spans="1:9" x14ac:dyDescent="0.3">
      <c r="B13" s="82"/>
    </row>
    <row r="14" spans="1:9" x14ac:dyDescent="0.3">
      <c r="B14" s="82"/>
    </row>
    <row r="15" spans="1:9" x14ac:dyDescent="0.3">
      <c r="B15" s="82"/>
    </row>
    <row r="16" spans="1:9" x14ac:dyDescent="0.3">
      <c r="B16" s="82"/>
    </row>
    <row r="17" spans="2:2" x14ac:dyDescent="0.3">
      <c r="B17" s="82"/>
    </row>
    <row r="18" spans="2:2" x14ac:dyDescent="0.3">
      <c r="B18" s="82"/>
    </row>
    <row r="19" spans="2:2" x14ac:dyDescent="0.3">
      <c r="B19" s="82"/>
    </row>
    <row r="20" spans="2:2" x14ac:dyDescent="0.3">
      <c r="B20" s="82"/>
    </row>
  </sheetData>
  <sheetProtection formatCells="0" formatColumns="0" formatRows="0" insertColumns="0" insertRows="0" insertHyperlinks="0" deleteColumns="0" deleteRows="0"/>
  <mergeCells count="2">
    <mergeCell ref="B12:I12"/>
    <mergeCell ref="B3:I3"/>
  </mergeCells>
  <hyperlinks>
    <hyperlink ref="A1" location="'Table of Contents'!A1" display="Back to Table of Contents" xr:uid="{D5EE5093-D73B-4FA4-882C-862118F205B0}"/>
  </hyperlinks>
  <pageMargins left="0.7" right="0.7" top="0.75" bottom="0.75" header="0.3" footer="0.3"/>
  <pageSetup orientation="portrait" r:id="rId1"/>
  <pictur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3FB39-C055-4982-AD09-7BDE780C07CA}">
  <sheetPr>
    <pageSetUpPr fitToPage="1"/>
  </sheetPr>
  <dimension ref="A1:DO41"/>
  <sheetViews>
    <sheetView showGridLines="0" zoomScale="110" zoomScaleNormal="110" workbookViewId="0">
      <selection activeCell="B4" sqref="B4:G4"/>
    </sheetView>
  </sheetViews>
  <sheetFormatPr baseColWidth="10" defaultColWidth="8.44140625" defaultRowHeight="14.4" x14ac:dyDescent="0.3"/>
  <cols>
    <col min="1" max="1" width="4.88671875" customWidth="1"/>
    <col min="2" max="2" width="38.33203125" customWidth="1"/>
  </cols>
  <sheetData>
    <row r="1" spans="1:119" x14ac:dyDescent="0.3">
      <c r="A1" s="119" t="s">
        <v>883</v>
      </c>
    </row>
    <row r="2" spans="1:119" x14ac:dyDescent="0.3">
      <c r="A2" s="119"/>
    </row>
    <row r="3" spans="1:119" x14ac:dyDescent="0.3">
      <c r="A3" s="119"/>
    </row>
    <row r="4" spans="1:119" ht="25.8" x14ac:dyDescent="0.3">
      <c r="B4" s="741" t="s">
        <v>346</v>
      </c>
      <c r="C4" s="741"/>
      <c r="D4" s="741"/>
      <c r="E4" s="741"/>
      <c r="F4" s="741"/>
      <c r="G4" s="741"/>
      <c r="H4" s="723"/>
      <c r="I4" s="723"/>
      <c r="J4" s="723"/>
      <c r="K4" t="s">
        <v>345</v>
      </c>
    </row>
    <row r="6" spans="1:119" s="110" customFormat="1" ht="115.2" customHeight="1" x14ac:dyDescent="0.3">
      <c r="A6"/>
      <c r="B6" s="790" t="s">
        <v>228</v>
      </c>
      <c r="C6" s="790"/>
      <c r="D6" s="790"/>
      <c r="E6" s="790"/>
      <c r="F6" s="790"/>
      <c r="G6" s="790"/>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row>
    <row r="7" spans="1:119" s="108" customFormat="1" x14ac:dyDescent="0.3">
      <c r="A7" s="2"/>
      <c r="B7" s="2" t="s">
        <v>257</v>
      </c>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row>
    <row r="8" spans="1:119" s="108" customFormat="1" x14ac:dyDescent="0.3">
      <c r="A8" s="2"/>
      <c r="B8" s="129" t="s">
        <v>162</v>
      </c>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row>
    <row r="9" spans="1:119" s="108" customFormat="1" x14ac:dyDescent="0.3">
      <c r="A9" s="2"/>
      <c r="B9" s="720" t="s">
        <v>875</v>
      </c>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row>
    <row r="10" spans="1:119" s="108" customFormat="1" x14ac:dyDescent="0.3">
      <c r="A10" s="2"/>
      <c r="B10" s="720" t="s">
        <v>874</v>
      </c>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row>
    <row r="11" spans="1:119" s="108" customFormat="1" x14ac:dyDescent="0.3">
      <c r="A11" s="2"/>
      <c r="B11" s="720" t="s">
        <v>876</v>
      </c>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row>
    <row r="12" spans="1:119" s="108" customFormat="1" x14ac:dyDescent="0.3">
      <c r="A12" s="2"/>
      <c r="B12" s="720" t="s">
        <v>877</v>
      </c>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row>
    <row r="13" spans="1:119" s="108" customFormat="1" x14ac:dyDescent="0.3">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row>
    <row r="14" spans="1:119" s="108" customFormat="1" x14ac:dyDescent="0.3">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row>
    <row r="15" spans="1:119" s="108" customFormat="1" x14ac:dyDescent="0.3">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row>
    <row r="16" spans="1:119" s="108" customFormat="1" x14ac:dyDescent="0.3">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row>
    <row r="17" spans="1:119" s="108" customFormat="1" x14ac:dyDescent="0.3">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row>
    <row r="18" spans="1:119" s="108" customFormat="1" x14ac:dyDescent="0.3">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row>
    <row r="19" spans="1:119" s="108" customFormat="1" x14ac:dyDescent="0.3">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row>
    <row r="20" spans="1:119" s="108" customFormat="1" x14ac:dyDescent="0.3">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row>
    <row r="21" spans="1:119" s="108" customFormat="1" x14ac:dyDescent="0.3">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row>
    <row r="22" spans="1:119" s="108" customFormat="1" x14ac:dyDescent="0.3">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row>
    <row r="23" spans="1:119" s="108" customFormat="1" x14ac:dyDescent="0.3">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row>
    <row r="24" spans="1:119" s="108" customFormat="1" x14ac:dyDescent="0.3">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row>
    <row r="25" spans="1:119" s="108" customFormat="1" x14ac:dyDescent="0.3">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row>
    <row r="26" spans="1:119" s="108" customFormat="1" x14ac:dyDescent="0.3">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row>
    <row r="27" spans="1:119" s="108" customFormat="1" x14ac:dyDescent="0.3">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row>
    <row r="28" spans="1:119" s="108" customFormat="1" x14ac:dyDescent="0.3">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row>
    <row r="29" spans="1:119" s="108" customFormat="1" x14ac:dyDescent="0.3">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row>
    <row r="30" spans="1:119" s="108" customFormat="1" x14ac:dyDescent="0.3">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row>
    <row r="31" spans="1:119" s="109" customFormat="1" ht="130.5" customHeight="1" x14ac:dyDescent="0.3">
      <c r="B31" s="821"/>
      <c r="C31" s="821"/>
      <c r="D31" s="821"/>
      <c r="E31" s="821"/>
    </row>
    <row r="32" spans="1:119" s="2" customFormat="1" x14ac:dyDescent="0.3"/>
    <row r="33" s="2" customFormat="1" x14ac:dyDescent="0.3"/>
    <row r="34" s="2" customFormat="1" x14ac:dyDescent="0.3"/>
    <row r="35" s="2" customFormat="1" x14ac:dyDescent="0.3"/>
    <row r="36" s="2" customFormat="1" x14ac:dyDescent="0.3"/>
    <row r="37" s="2" customFormat="1" x14ac:dyDescent="0.3"/>
    <row r="38" s="2" customFormat="1" x14ac:dyDescent="0.3"/>
    <row r="39" s="2" customFormat="1" x14ac:dyDescent="0.3"/>
    <row r="40" s="2" customFormat="1" x14ac:dyDescent="0.3"/>
    <row r="41" s="2" customFormat="1" x14ac:dyDescent="0.3"/>
  </sheetData>
  <sheetProtection formatCells="0" formatColumns="0" formatRows="0" insertColumns="0" insertRows="0" insertHyperlinks="0" deleteColumns="0" deleteRows="0"/>
  <mergeCells count="3">
    <mergeCell ref="B31:E31"/>
    <mergeCell ref="B6:G6"/>
    <mergeCell ref="B4:G4"/>
  </mergeCells>
  <hyperlinks>
    <hyperlink ref="B8" r:id="rId1" location="section-flex8" xr:uid="{A775D4F2-AF23-4524-9237-50AE16CD750C}"/>
    <hyperlink ref="B10" r:id="rId2" xr:uid="{82DCB227-8DED-4C5B-A493-34FFF7CDC1C7}"/>
    <hyperlink ref="B9" r:id="rId3" xr:uid="{F21384FC-1ED1-4FFD-82C1-B620D38EF193}"/>
    <hyperlink ref="B11" r:id="rId4" xr:uid="{EFD18422-2801-4438-BE7C-6480E4BA2021}"/>
    <hyperlink ref="B12" r:id="rId5" xr:uid="{A26BA552-D418-4BE6-9579-B15485DAE203}"/>
    <hyperlink ref="A1" location="'Table of Contents'!A1" display="Back to Table of Contents" xr:uid="{3B39A0F7-54F2-47CD-A804-D5FA7C2F3A18}"/>
  </hyperlinks>
  <pageMargins left="0.23622047244094491" right="0.23622047244094491" top="0.74803149606299213" bottom="0.74803149606299213" header="0.31496062992125984" footer="0.31496062992125984"/>
  <pageSetup scale="49" orientation="landscape" r:id="rId6"/>
  <headerFooter>
    <oddHeader>&amp;LSustainability Data Pack 2022&amp;CRHI Magnesita&amp;R&amp;G</oddHeader>
    <oddFooter>&amp;R&amp;P/&amp;N</oddFooter>
  </headerFooter>
  <legacyDrawingHF r:id="rId7"/>
  <picture r:id="rId8"/>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1F29B-A162-49C2-8DBB-E4D132C69F82}">
  <dimension ref="A1:R19"/>
  <sheetViews>
    <sheetView showGridLines="0" zoomScale="87" zoomScaleNormal="87" workbookViewId="0">
      <selection activeCell="O5" sqref="O5"/>
    </sheetView>
  </sheetViews>
  <sheetFormatPr baseColWidth="10" defaultColWidth="8.77734375" defaultRowHeight="13.8" x14ac:dyDescent="0.25"/>
  <cols>
    <col min="1" max="1" width="4.109375" style="567" customWidth="1"/>
    <col min="2" max="2" width="11.77734375" style="567" customWidth="1"/>
    <col min="3" max="3" width="8.77734375" style="567"/>
    <col min="4" max="4" width="12.44140625" style="567" customWidth="1"/>
    <col min="5" max="5" width="12.5546875" style="567" customWidth="1"/>
    <col min="6" max="6" width="14.77734375" style="567" customWidth="1"/>
    <col min="7" max="7" width="13.77734375" style="567" customWidth="1"/>
    <col min="8" max="8" width="14" style="567" customWidth="1"/>
    <col min="9" max="9" width="14.21875" style="567" customWidth="1"/>
    <col min="10" max="11" width="14.77734375" style="567" customWidth="1"/>
    <col min="12" max="12" width="14.44140625" style="567" customWidth="1"/>
    <col min="13" max="13" width="11.21875" style="567" customWidth="1"/>
    <col min="14" max="14" width="11.77734375" style="567" customWidth="1"/>
    <col min="15" max="16" width="14.21875" style="567" customWidth="1"/>
    <col min="17" max="17" width="12.77734375" style="567" customWidth="1"/>
    <col min="18" max="18" width="13.44140625" style="567" customWidth="1"/>
    <col min="19" max="16384" width="8.77734375" style="567"/>
  </cols>
  <sheetData>
    <row r="1" spans="1:18" ht="14.4" x14ac:dyDescent="0.3">
      <c r="A1" s="724" t="s">
        <v>883</v>
      </c>
    </row>
    <row r="3" spans="1:18" ht="18" x14ac:dyDescent="0.35">
      <c r="B3" s="823" t="s">
        <v>934</v>
      </c>
      <c r="C3" s="823"/>
      <c r="D3" s="823"/>
      <c r="E3" s="823"/>
      <c r="F3" s="823"/>
      <c r="G3" s="823"/>
      <c r="H3" s="823"/>
      <c r="I3" s="823"/>
      <c r="J3" s="823"/>
      <c r="K3" s="823"/>
      <c r="L3" s="823"/>
      <c r="M3" s="823"/>
      <c r="N3" s="823"/>
      <c r="O3" s="823"/>
      <c r="P3" s="823"/>
      <c r="Q3" s="823"/>
      <c r="R3" s="823"/>
    </row>
    <row r="4" spans="1:18" x14ac:dyDescent="0.25">
      <c r="B4" s="568"/>
    </row>
    <row r="6" spans="1:18" s="569" customFormat="1" ht="21" customHeight="1" x14ac:dyDescent="0.3">
      <c r="B6" s="631" t="s">
        <v>743</v>
      </c>
      <c r="C6" s="631"/>
      <c r="D6" s="631"/>
      <c r="E6" s="631"/>
      <c r="F6" s="631"/>
      <c r="G6" s="631"/>
      <c r="H6" s="631"/>
      <c r="I6" s="631"/>
      <c r="J6" s="631"/>
      <c r="K6" s="631"/>
      <c r="L6" s="631"/>
      <c r="M6" s="632"/>
      <c r="N6" s="631"/>
      <c r="O6" s="631"/>
      <c r="P6" s="631"/>
      <c r="Q6" s="631"/>
      <c r="R6" s="631"/>
    </row>
    <row r="7" spans="1:18" s="569" customFormat="1" ht="123" customHeight="1" x14ac:dyDescent="0.3">
      <c r="B7" s="627" t="s">
        <v>744</v>
      </c>
      <c r="C7" s="628" t="s">
        <v>44</v>
      </c>
      <c r="D7" s="629" t="s">
        <v>745</v>
      </c>
      <c r="E7" s="629" t="s">
        <v>746</v>
      </c>
      <c r="F7" s="629" t="s">
        <v>747</v>
      </c>
      <c r="G7" s="822" t="s">
        <v>748</v>
      </c>
      <c r="H7" s="822"/>
      <c r="I7" s="822"/>
      <c r="J7" s="822"/>
      <c r="K7" s="822"/>
      <c r="L7" s="822"/>
      <c r="M7" s="628" t="s">
        <v>744</v>
      </c>
      <c r="N7" s="629" t="s">
        <v>749</v>
      </c>
      <c r="O7" s="629" t="s">
        <v>750</v>
      </c>
      <c r="P7" s="629" t="s">
        <v>751</v>
      </c>
      <c r="Q7" s="629" t="s">
        <v>752</v>
      </c>
      <c r="R7" s="630" t="s">
        <v>753</v>
      </c>
    </row>
    <row r="8" spans="1:18" ht="97.95" customHeight="1" x14ac:dyDescent="0.25">
      <c r="B8" s="570"/>
      <c r="C8" s="571"/>
      <c r="D8" s="572"/>
      <c r="E8" s="571"/>
      <c r="F8" s="571"/>
      <c r="G8" s="573" t="s">
        <v>754</v>
      </c>
      <c r="H8" s="573" t="s">
        <v>755</v>
      </c>
      <c r="I8" s="574" t="s">
        <v>4</v>
      </c>
      <c r="J8" s="573" t="s">
        <v>164</v>
      </c>
      <c r="K8" s="573" t="s">
        <v>165</v>
      </c>
      <c r="L8" s="573" t="s">
        <v>5</v>
      </c>
      <c r="M8" s="571"/>
      <c r="N8" s="571"/>
      <c r="O8" s="571"/>
      <c r="P8" s="571"/>
      <c r="Q8" s="571"/>
      <c r="R8" s="575"/>
    </row>
    <row r="9" spans="1:18" ht="30" customHeight="1" x14ac:dyDescent="0.25">
      <c r="B9" s="576" t="s">
        <v>756</v>
      </c>
      <c r="C9" s="577" t="s">
        <v>757</v>
      </c>
      <c r="D9" s="578" t="s">
        <v>758</v>
      </c>
      <c r="E9" s="577" t="s">
        <v>759</v>
      </c>
      <c r="F9" s="577" t="s">
        <v>760</v>
      </c>
      <c r="G9" s="578" t="s">
        <v>761</v>
      </c>
      <c r="H9" s="578" t="s">
        <v>762</v>
      </c>
      <c r="I9" s="577" t="s">
        <v>763</v>
      </c>
      <c r="J9" s="578" t="s">
        <v>764</v>
      </c>
      <c r="K9" s="578" t="s">
        <v>765</v>
      </c>
      <c r="L9" s="578" t="s">
        <v>766</v>
      </c>
      <c r="M9" s="577" t="s">
        <v>756</v>
      </c>
      <c r="N9" s="577" t="s">
        <v>767</v>
      </c>
      <c r="O9" s="577" t="s">
        <v>768</v>
      </c>
      <c r="P9" s="577" t="s">
        <v>769</v>
      </c>
      <c r="Q9" s="577" t="s">
        <v>770</v>
      </c>
      <c r="R9" s="579" t="s">
        <v>771</v>
      </c>
    </row>
    <row r="10" spans="1:18" x14ac:dyDescent="0.25">
      <c r="B10" s="580" t="s">
        <v>772</v>
      </c>
      <c r="C10" s="581" t="s">
        <v>773</v>
      </c>
      <c r="D10" s="581" t="s">
        <v>275</v>
      </c>
      <c r="E10" s="581" t="s">
        <v>773</v>
      </c>
      <c r="F10" s="581" t="s">
        <v>275</v>
      </c>
      <c r="G10" s="581" t="s">
        <v>275</v>
      </c>
      <c r="H10" s="581" t="s">
        <v>275</v>
      </c>
      <c r="I10" s="581" t="s">
        <v>275</v>
      </c>
      <c r="J10" s="581" t="s">
        <v>275</v>
      </c>
      <c r="K10" s="581" t="s">
        <v>275</v>
      </c>
      <c r="L10" s="581" t="s">
        <v>275</v>
      </c>
      <c r="M10" s="581" t="s">
        <v>772</v>
      </c>
      <c r="N10" s="581" t="s">
        <v>275</v>
      </c>
      <c r="O10" s="581" t="s">
        <v>275</v>
      </c>
      <c r="P10" s="581" t="s">
        <v>275</v>
      </c>
      <c r="Q10" s="581" t="s">
        <v>773</v>
      </c>
      <c r="R10" s="582" t="s">
        <v>275</v>
      </c>
    </row>
    <row r="11" spans="1:18" x14ac:dyDescent="0.25">
      <c r="B11" s="583" t="s">
        <v>163</v>
      </c>
      <c r="C11" s="584">
        <v>3366</v>
      </c>
      <c r="D11" s="585">
        <v>0.16666666666666666</v>
      </c>
      <c r="E11" s="586">
        <v>24</v>
      </c>
      <c r="F11" s="585">
        <v>7.0000000000000001E-3</v>
      </c>
      <c r="G11" s="585">
        <v>7.0000000000000001E-3</v>
      </c>
      <c r="H11" s="585">
        <v>0</v>
      </c>
      <c r="I11" s="585">
        <v>0</v>
      </c>
      <c r="J11" s="585">
        <v>0</v>
      </c>
      <c r="K11" s="585">
        <v>0</v>
      </c>
      <c r="L11" s="585">
        <v>0</v>
      </c>
      <c r="M11" s="587" t="s">
        <v>163</v>
      </c>
      <c r="N11" s="585">
        <v>0</v>
      </c>
      <c r="O11" s="585">
        <v>0</v>
      </c>
      <c r="P11" s="585">
        <v>0</v>
      </c>
      <c r="Q11" s="586">
        <v>17</v>
      </c>
      <c r="R11" s="588">
        <v>5.0000000000000001E-3</v>
      </c>
    </row>
    <row r="12" spans="1:18" ht="15" x14ac:dyDescent="0.25">
      <c r="B12" s="583" t="s">
        <v>774</v>
      </c>
      <c r="C12" s="584">
        <v>411</v>
      </c>
      <c r="D12" s="585">
        <v>2.8000000000000001E-2</v>
      </c>
      <c r="E12" s="587">
        <v>2</v>
      </c>
      <c r="F12" s="585">
        <v>5.0000000000000001E-3</v>
      </c>
      <c r="G12" s="585">
        <v>5.0000000000000001E-3</v>
      </c>
      <c r="H12" s="585">
        <v>0</v>
      </c>
      <c r="I12" s="585">
        <v>0</v>
      </c>
      <c r="J12" s="585">
        <v>0</v>
      </c>
      <c r="K12" s="585">
        <v>0</v>
      </c>
      <c r="L12" s="585">
        <v>0</v>
      </c>
      <c r="M12" s="587" t="s">
        <v>774</v>
      </c>
      <c r="N12" s="585">
        <v>0</v>
      </c>
      <c r="O12" s="585">
        <v>0</v>
      </c>
      <c r="P12" s="585" t="s">
        <v>807</v>
      </c>
      <c r="Q12" s="586">
        <v>4</v>
      </c>
      <c r="R12" s="588" t="s">
        <v>808</v>
      </c>
    </row>
    <row r="13" spans="1:18" ht="15" x14ac:dyDescent="0.25">
      <c r="B13" s="589" t="s">
        <v>775</v>
      </c>
      <c r="C13" s="590">
        <v>167</v>
      </c>
      <c r="D13" s="591">
        <v>0.16167664670658682</v>
      </c>
      <c r="E13" s="592">
        <v>4</v>
      </c>
      <c r="F13" s="591">
        <v>2.4E-2</v>
      </c>
      <c r="G13" s="591">
        <v>2.4E-2</v>
      </c>
      <c r="H13" s="591">
        <v>0</v>
      </c>
      <c r="I13" s="591">
        <v>0</v>
      </c>
      <c r="J13" s="591">
        <v>0</v>
      </c>
      <c r="K13" s="591">
        <v>0</v>
      </c>
      <c r="L13" s="591">
        <v>0</v>
      </c>
      <c r="M13" s="593" t="s">
        <v>775</v>
      </c>
      <c r="N13" s="591">
        <v>0</v>
      </c>
      <c r="O13" s="591">
        <v>0</v>
      </c>
      <c r="P13" s="591" t="s">
        <v>809</v>
      </c>
      <c r="Q13" s="592">
        <v>3</v>
      </c>
      <c r="R13" s="594">
        <v>1.7000000000000001E-2</v>
      </c>
    </row>
    <row r="16" spans="1:18" x14ac:dyDescent="0.25">
      <c r="B16" s="567" t="s">
        <v>776</v>
      </c>
    </row>
    <row r="17" spans="2:2" x14ac:dyDescent="0.25">
      <c r="B17" s="587" t="s">
        <v>777</v>
      </c>
    </row>
    <row r="18" spans="2:2" x14ac:dyDescent="0.25">
      <c r="B18" s="587" t="s">
        <v>778</v>
      </c>
    </row>
    <row r="19" spans="2:2" x14ac:dyDescent="0.25">
      <c r="B19" s="567" t="s">
        <v>779</v>
      </c>
    </row>
  </sheetData>
  <mergeCells count="2">
    <mergeCell ref="G7:L7"/>
    <mergeCell ref="B3:R3"/>
  </mergeCells>
  <hyperlinks>
    <hyperlink ref="A1" location="'Table of Contents'!A1" display="Back to Table of Contents" xr:uid="{9E40E3E8-49BD-4086-A83C-209000415ADB}"/>
  </hyperlinks>
  <pageMargins left="0.7" right="0.7" top="0.75" bottom="0.75" header="0.3" footer="0.3"/>
  <pageSetup orientation="portrait" horizontalDpi="1200" verticalDpi="1200" r:id="rId1"/>
  <headerFooter>
    <oddHeader>&amp;L&amp;"Aptos"&amp;10&amp;K000000 Sensitivity: Restricted&amp;1#_x000D_</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EE994-9ADF-4D51-9BB3-5632E92A24AC}">
  <dimension ref="A1:O18"/>
  <sheetViews>
    <sheetView showGridLines="0" zoomScale="85" zoomScaleNormal="85" workbookViewId="0">
      <selection activeCell="B3" sqref="B3:O3"/>
    </sheetView>
  </sheetViews>
  <sheetFormatPr baseColWidth="10" defaultColWidth="10.88671875" defaultRowHeight="13.8" x14ac:dyDescent="0.25"/>
  <cols>
    <col min="1" max="1" width="4.5546875" style="567" customWidth="1"/>
    <col min="2" max="2" width="35.6640625" style="567" customWidth="1"/>
    <col min="3" max="3" width="13.77734375" style="567" customWidth="1"/>
    <col min="4" max="6" width="17.44140625" style="567" customWidth="1"/>
    <col min="7" max="13" width="10.88671875" style="567"/>
    <col min="14" max="14" width="14.21875" style="567" customWidth="1"/>
    <col min="15" max="15" width="14.77734375" style="567" customWidth="1"/>
    <col min="16" max="16384" width="10.88671875" style="567"/>
  </cols>
  <sheetData>
    <row r="1" spans="1:15" ht="14.4" x14ac:dyDescent="0.3">
      <c r="A1" s="724" t="s">
        <v>883</v>
      </c>
    </row>
    <row r="2" spans="1:15" ht="14.4" x14ac:dyDescent="0.3">
      <c r="A2" s="724"/>
    </row>
    <row r="3" spans="1:15" ht="18" x14ac:dyDescent="0.35">
      <c r="B3" s="823" t="s">
        <v>935</v>
      </c>
      <c r="C3" s="823"/>
      <c r="D3" s="823"/>
      <c r="E3" s="823"/>
      <c r="F3" s="823"/>
      <c r="G3" s="823"/>
      <c r="H3" s="823"/>
      <c r="I3" s="823"/>
      <c r="J3" s="823"/>
      <c r="K3" s="823"/>
      <c r="L3" s="823"/>
      <c r="M3" s="823"/>
      <c r="N3" s="823"/>
      <c r="O3" s="823"/>
    </row>
    <row r="4" spans="1:15" x14ac:dyDescent="0.25">
      <c r="B4" s="568"/>
    </row>
    <row r="6" spans="1:15" s="569" customFormat="1" ht="19.2" customHeight="1" x14ac:dyDescent="0.3">
      <c r="B6" s="571" t="s">
        <v>780</v>
      </c>
      <c r="C6" s="571"/>
      <c r="D6" s="571"/>
      <c r="E6" s="571"/>
      <c r="F6" s="571"/>
      <c r="G6" s="571"/>
      <c r="H6" s="571"/>
      <c r="I6" s="571"/>
      <c r="J6" s="571"/>
      <c r="K6" s="571"/>
      <c r="L6" s="571"/>
      <c r="M6" s="571"/>
      <c r="N6" s="571"/>
      <c r="O6" s="571"/>
    </row>
    <row r="7" spans="1:15" s="569" customFormat="1" ht="82.8" x14ac:dyDescent="0.3">
      <c r="B7" s="572" t="s">
        <v>781</v>
      </c>
      <c r="C7" s="571" t="s">
        <v>782</v>
      </c>
      <c r="D7" s="572" t="s">
        <v>783</v>
      </c>
      <c r="E7" s="572" t="s">
        <v>784</v>
      </c>
      <c r="F7" s="572" t="s">
        <v>785</v>
      </c>
      <c r="G7" s="824" t="s">
        <v>786</v>
      </c>
      <c r="H7" s="824"/>
      <c r="I7" s="824"/>
      <c r="J7" s="824"/>
      <c r="K7" s="824"/>
      <c r="L7" s="824"/>
      <c r="M7" s="572" t="s">
        <v>787</v>
      </c>
      <c r="N7" s="572" t="s">
        <v>788</v>
      </c>
      <c r="O7" s="572" t="s">
        <v>789</v>
      </c>
    </row>
    <row r="8" spans="1:15" ht="69" customHeight="1" x14ac:dyDescent="0.25">
      <c r="B8" s="571"/>
      <c r="C8" s="571"/>
      <c r="D8" s="597"/>
      <c r="E8" s="572"/>
      <c r="F8" s="599"/>
      <c r="G8" s="573" t="s">
        <v>754</v>
      </c>
      <c r="H8" s="573" t="s">
        <v>755</v>
      </c>
      <c r="I8" s="574" t="s">
        <v>4</v>
      </c>
      <c r="J8" s="573" t="s">
        <v>164</v>
      </c>
      <c r="K8" s="573" t="s">
        <v>165</v>
      </c>
      <c r="L8" s="573" t="s">
        <v>5</v>
      </c>
      <c r="M8" s="571"/>
      <c r="N8" s="571"/>
      <c r="O8" s="571"/>
    </row>
    <row r="9" spans="1:15" ht="50.25" customHeight="1" x14ac:dyDescent="0.25">
      <c r="B9" s="577" t="s">
        <v>756</v>
      </c>
      <c r="C9" s="577" t="s">
        <v>757</v>
      </c>
      <c r="D9" s="578" t="s">
        <v>758</v>
      </c>
      <c r="E9" s="577" t="s">
        <v>759</v>
      </c>
      <c r="F9" s="577" t="s">
        <v>760</v>
      </c>
      <c r="G9" s="578" t="s">
        <v>761</v>
      </c>
      <c r="H9" s="578" t="s">
        <v>762</v>
      </c>
      <c r="I9" s="577" t="s">
        <v>763</v>
      </c>
      <c r="J9" s="578" t="s">
        <v>764</v>
      </c>
      <c r="K9" s="578" t="s">
        <v>765</v>
      </c>
      <c r="L9" s="578" t="s">
        <v>766</v>
      </c>
      <c r="M9" s="577" t="s">
        <v>767</v>
      </c>
      <c r="N9" s="577" t="s">
        <v>768</v>
      </c>
      <c r="O9" s="577" t="s">
        <v>769</v>
      </c>
    </row>
    <row r="10" spans="1:15" ht="41.4" x14ac:dyDescent="0.25">
      <c r="B10" s="581" t="s">
        <v>772</v>
      </c>
      <c r="C10" s="581"/>
      <c r="D10" s="581" t="s">
        <v>275</v>
      </c>
      <c r="E10" s="581" t="s">
        <v>773</v>
      </c>
      <c r="F10" s="581" t="s">
        <v>275</v>
      </c>
      <c r="G10" s="581" t="s">
        <v>275</v>
      </c>
      <c r="H10" s="581" t="s">
        <v>275</v>
      </c>
      <c r="I10" s="581" t="s">
        <v>275</v>
      </c>
      <c r="J10" s="581" t="s">
        <v>275</v>
      </c>
      <c r="K10" s="581" t="s">
        <v>275</v>
      </c>
      <c r="L10" s="581" t="s">
        <v>275</v>
      </c>
      <c r="M10" s="600" t="s">
        <v>790</v>
      </c>
      <c r="N10" s="600" t="s">
        <v>791</v>
      </c>
      <c r="O10" s="581" t="s">
        <v>275</v>
      </c>
    </row>
    <row r="11" spans="1:15" ht="27.6" x14ac:dyDescent="0.25">
      <c r="B11" s="601" t="s">
        <v>166</v>
      </c>
      <c r="C11" s="602" t="s">
        <v>792</v>
      </c>
      <c r="D11" s="603">
        <v>0.156</v>
      </c>
      <c r="E11" s="604">
        <v>0</v>
      </c>
      <c r="F11" s="585">
        <v>0</v>
      </c>
      <c r="G11" s="603">
        <v>0</v>
      </c>
      <c r="H11" s="603">
        <v>0</v>
      </c>
      <c r="I11" s="603">
        <v>0</v>
      </c>
      <c r="J11" s="603">
        <v>0</v>
      </c>
      <c r="K11" s="603">
        <v>0</v>
      </c>
      <c r="L11" s="603">
        <v>0</v>
      </c>
      <c r="M11" s="605" t="s">
        <v>167</v>
      </c>
      <c r="N11" s="605"/>
      <c r="O11" s="603">
        <f>F11/D11</f>
        <v>0</v>
      </c>
    </row>
    <row r="12" spans="1:15" ht="27.6" x14ac:dyDescent="0.25">
      <c r="B12" s="601" t="s">
        <v>168</v>
      </c>
      <c r="C12" s="602" t="s">
        <v>793</v>
      </c>
      <c r="D12" s="603">
        <v>1.0999999999999999E-2</v>
      </c>
      <c r="E12" s="604">
        <v>24</v>
      </c>
      <c r="F12" s="585">
        <v>7.0000000000000001E-3</v>
      </c>
      <c r="G12" s="603">
        <f>F12</f>
        <v>7.0000000000000001E-3</v>
      </c>
      <c r="H12" s="603">
        <v>0</v>
      </c>
      <c r="I12" s="603">
        <v>0</v>
      </c>
      <c r="J12" s="603">
        <v>0</v>
      </c>
      <c r="K12" s="603">
        <v>0</v>
      </c>
      <c r="L12" s="603">
        <v>0</v>
      </c>
      <c r="N12" s="605"/>
      <c r="O12" s="603">
        <f>F12/D12</f>
        <v>0.63636363636363646</v>
      </c>
    </row>
    <row r="13" spans="1:15" ht="27.6" x14ac:dyDescent="0.25">
      <c r="A13" s="567" t="s">
        <v>551</v>
      </c>
      <c r="B13" s="601" t="s">
        <v>794</v>
      </c>
      <c r="C13" s="602" t="s">
        <v>231</v>
      </c>
      <c r="D13" s="603">
        <v>0</v>
      </c>
      <c r="E13" s="606">
        <v>0</v>
      </c>
      <c r="F13" s="603">
        <v>0</v>
      </c>
      <c r="G13" s="603">
        <v>0</v>
      </c>
      <c r="H13" s="603">
        <v>0</v>
      </c>
      <c r="I13" s="603">
        <v>0</v>
      </c>
      <c r="J13" s="603">
        <v>0</v>
      </c>
      <c r="K13" s="603">
        <v>0</v>
      </c>
      <c r="L13" s="603">
        <v>0</v>
      </c>
      <c r="M13" s="605"/>
      <c r="N13" s="605"/>
      <c r="O13" s="607">
        <v>0</v>
      </c>
    </row>
    <row r="14" spans="1:15" ht="27.6" x14ac:dyDescent="0.25">
      <c r="A14" s="567" t="s">
        <v>551</v>
      </c>
      <c r="B14" s="601" t="s">
        <v>795</v>
      </c>
      <c r="C14" s="602" t="s">
        <v>796</v>
      </c>
      <c r="D14" s="603">
        <v>0</v>
      </c>
      <c r="E14" s="606">
        <v>0</v>
      </c>
      <c r="F14" s="603">
        <v>0</v>
      </c>
      <c r="G14" s="603">
        <v>0</v>
      </c>
      <c r="H14" s="603">
        <v>0</v>
      </c>
      <c r="I14" s="603">
        <v>0</v>
      </c>
      <c r="J14" s="603">
        <v>0</v>
      </c>
      <c r="K14" s="603">
        <v>0</v>
      </c>
      <c r="L14" s="603">
        <v>0</v>
      </c>
      <c r="M14" s="605"/>
      <c r="N14" s="605"/>
      <c r="O14" s="603">
        <v>0</v>
      </c>
    </row>
    <row r="15" spans="1:15" ht="28.2" thickBot="1" x14ac:dyDescent="0.3">
      <c r="A15" s="567" t="s">
        <v>551</v>
      </c>
      <c r="B15" s="601" t="s">
        <v>229</v>
      </c>
      <c r="C15" s="602" t="s">
        <v>230</v>
      </c>
      <c r="D15" s="603">
        <v>0</v>
      </c>
      <c r="E15" s="606">
        <v>0</v>
      </c>
      <c r="F15" s="603">
        <v>0</v>
      </c>
      <c r="G15" s="603">
        <v>0</v>
      </c>
      <c r="H15" s="603">
        <v>0</v>
      </c>
      <c r="I15" s="603">
        <v>0</v>
      </c>
      <c r="J15" s="603">
        <v>0</v>
      </c>
      <c r="K15" s="603">
        <v>0</v>
      </c>
      <c r="L15" s="603">
        <v>0</v>
      </c>
      <c r="M15" s="605"/>
      <c r="N15" s="605"/>
      <c r="O15" s="603">
        <v>0</v>
      </c>
    </row>
    <row r="16" spans="1:15" ht="14.4" thickBot="1" x14ac:dyDescent="0.3">
      <c r="B16" s="608" t="s">
        <v>797</v>
      </c>
      <c r="C16" s="609"/>
      <c r="D16" s="610"/>
      <c r="E16" s="610"/>
      <c r="F16" s="610"/>
      <c r="G16" s="610">
        <f>G11+G12+G13+G14+G15</f>
        <v>7.0000000000000001E-3</v>
      </c>
      <c r="H16" s="610">
        <f t="shared" ref="H16:L16" si="0">H11+H12+H13+H14</f>
        <v>0</v>
      </c>
      <c r="I16" s="610">
        <f t="shared" si="0"/>
        <v>0</v>
      </c>
      <c r="J16" s="610">
        <f t="shared" si="0"/>
        <v>0</v>
      </c>
      <c r="K16" s="610">
        <f t="shared" si="0"/>
        <v>0</v>
      </c>
      <c r="L16" s="610">
        <f t="shared" si="0"/>
        <v>0</v>
      </c>
      <c r="M16" s="611"/>
      <c r="N16" s="611"/>
      <c r="O16" s="612"/>
    </row>
    <row r="17" spans="2:15" ht="28.95" customHeight="1" thickTop="1" thickBot="1" x14ac:dyDescent="0.3">
      <c r="B17" s="613" t="s">
        <v>798</v>
      </c>
      <c r="C17" s="614"/>
      <c r="D17" s="615">
        <f>SUM(D11:D15)</f>
        <v>0.16700000000000001</v>
      </c>
      <c r="E17" s="616">
        <f>SUM(E11:E15)</f>
        <v>24</v>
      </c>
      <c r="F17" s="617">
        <f>SUM(F11:F15)</f>
        <v>7.0000000000000001E-3</v>
      </c>
      <c r="G17" s="617">
        <f t="shared" ref="G17:L17" si="1">SUM(G11:G14)</f>
        <v>7.0000000000000001E-3</v>
      </c>
      <c r="H17" s="617">
        <f t="shared" si="1"/>
        <v>0</v>
      </c>
      <c r="I17" s="617">
        <f t="shared" si="1"/>
        <v>0</v>
      </c>
      <c r="J17" s="617">
        <f t="shared" si="1"/>
        <v>0</v>
      </c>
      <c r="K17" s="617">
        <f t="shared" si="1"/>
        <v>0</v>
      </c>
      <c r="L17" s="617">
        <f t="shared" si="1"/>
        <v>0</v>
      </c>
      <c r="M17" s="618">
        <v>0</v>
      </c>
      <c r="N17" s="619">
        <v>0</v>
      </c>
      <c r="O17" s="619">
        <f>F17/D17</f>
        <v>4.1916167664670656E-2</v>
      </c>
    </row>
    <row r="18" spans="2:15" ht="14.4" thickTop="1" x14ac:dyDescent="0.25"/>
  </sheetData>
  <mergeCells count="2">
    <mergeCell ref="G7:L7"/>
    <mergeCell ref="B3:O3"/>
  </mergeCells>
  <hyperlinks>
    <hyperlink ref="A1" location="'Table of Contents'!A1" display="Back to Table of Contents" xr:uid="{EBD4ED2B-C60D-4322-B2B6-8C2AD9A6CE16}"/>
  </hyperlinks>
  <pageMargins left="0.7" right="0.7" top="0.78740157499999996" bottom="0.78740157499999996" header="0.3" footer="0.3"/>
  <headerFooter>
    <oddHeader>&amp;L&amp;"Aptos"&amp;10&amp;K000000 Sensitivity: Restricted&amp;1#_x000D_</oddHead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2B441-9B95-4C69-82AF-747C570C220A}">
  <dimension ref="A1:O18"/>
  <sheetViews>
    <sheetView showGridLines="0" zoomScale="93" zoomScaleNormal="93" workbookViewId="0">
      <selection activeCell="B3" sqref="B3:O3"/>
    </sheetView>
  </sheetViews>
  <sheetFormatPr baseColWidth="10" defaultColWidth="10.88671875" defaultRowHeight="13.8" x14ac:dyDescent="0.25"/>
  <cols>
    <col min="1" max="1" width="8" style="567" customWidth="1"/>
    <col min="2" max="2" width="31.77734375" style="567" customWidth="1"/>
    <col min="3" max="3" width="13.77734375" style="567" customWidth="1"/>
    <col min="4" max="6" width="17.44140625" style="567" customWidth="1"/>
    <col min="7" max="12" width="10.88671875" style="567"/>
    <col min="13" max="13" width="12.6640625" style="567" customWidth="1"/>
    <col min="14" max="14" width="14.21875" style="567" customWidth="1"/>
    <col min="15" max="15" width="14.77734375" style="567" customWidth="1"/>
    <col min="16" max="16384" width="10.88671875" style="567"/>
  </cols>
  <sheetData>
    <row r="1" spans="1:15" ht="14.4" x14ac:dyDescent="0.3">
      <c r="A1" s="724" t="s">
        <v>883</v>
      </c>
    </row>
    <row r="2" spans="1:15" ht="14.4" x14ac:dyDescent="0.3">
      <c r="A2" s="724"/>
    </row>
    <row r="3" spans="1:15" ht="18" x14ac:dyDescent="0.35">
      <c r="B3" s="823" t="s">
        <v>936</v>
      </c>
      <c r="C3" s="823"/>
      <c r="D3" s="823"/>
      <c r="E3" s="823"/>
      <c r="F3" s="823"/>
      <c r="G3" s="823"/>
      <c r="H3" s="823"/>
      <c r="I3" s="823"/>
      <c r="J3" s="823"/>
      <c r="K3" s="823"/>
      <c r="L3" s="823"/>
      <c r="M3" s="823"/>
      <c r="N3" s="823"/>
      <c r="O3" s="823"/>
    </row>
    <row r="4" spans="1:15" x14ac:dyDescent="0.25">
      <c r="B4" s="568"/>
    </row>
    <row r="5" spans="1:15" x14ac:dyDescent="0.25">
      <c r="C5" s="595"/>
      <c r="D5" s="596"/>
      <c r="E5" s="596"/>
      <c r="F5" s="596"/>
      <c r="G5" s="596"/>
      <c r="H5" s="596"/>
      <c r="I5" s="596"/>
      <c r="J5" s="596"/>
      <c r="K5" s="596"/>
      <c r="L5" s="596"/>
      <c r="M5" s="596"/>
      <c r="N5" s="596"/>
      <c r="O5" s="596"/>
    </row>
    <row r="6" spans="1:15" s="569" customFormat="1" ht="21.6" customHeight="1" x14ac:dyDescent="0.3">
      <c r="B6" s="571" t="s">
        <v>780</v>
      </c>
      <c r="C6" s="571"/>
      <c r="D6" s="571"/>
      <c r="E6" s="571"/>
      <c r="F6" s="571"/>
      <c r="G6" s="571"/>
      <c r="H6" s="571"/>
      <c r="I6" s="571"/>
      <c r="J6" s="571"/>
      <c r="K6" s="571"/>
      <c r="L6" s="571"/>
      <c r="M6" s="571"/>
      <c r="N6" s="571"/>
      <c r="O6" s="571"/>
    </row>
    <row r="7" spans="1:15" s="569" customFormat="1" ht="138" customHeight="1" x14ac:dyDescent="0.3">
      <c r="B7" s="572" t="s">
        <v>781</v>
      </c>
      <c r="C7" s="571" t="s">
        <v>782</v>
      </c>
      <c r="D7" s="572" t="s">
        <v>799</v>
      </c>
      <c r="E7" s="572" t="s">
        <v>800</v>
      </c>
      <c r="F7" s="572" t="s">
        <v>801</v>
      </c>
      <c r="G7" s="824" t="s">
        <v>786</v>
      </c>
      <c r="H7" s="824"/>
      <c r="I7" s="824"/>
      <c r="J7" s="824"/>
      <c r="K7" s="824"/>
      <c r="L7" s="824"/>
      <c r="M7" s="572" t="s">
        <v>787</v>
      </c>
      <c r="N7" s="572" t="s">
        <v>788</v>
      </c>
      <c r="O7" s="572" t="s">
        <v>789</v>
      </c>
    </row>
    <row r="8" spans="1:15" ht="69" customHeight="1" x14ac:dyDescent="0.25">
      <c r="B8" s="571"/>
      <c r="C8" s="571"/>
      <c r="D8" s="597"/>
      <c r="E8" s="572"/>
      <c r="F8" s="599"/>
      <c r="G8" s="573" t="s">
        <v>754</v>
      </c>
      <c r="H8" s="573" t="s">
        <v>755</v>
      </c>
      <c r="I8" s="574" t="s">
        <v>4</v>
      </c>
      <c r="J8" s="573" t="s">
        <v>164</v>
      </c>
      <c r="K8" s="573" t="s">
        <v>165</v>
      </c>
      <c r="L8" s="573" t="s">
        <v>5</v>
      </c>
      <c r="M8" s="571"/>
      <c r="N8" s="571"/>
      <c r="O8" s="571"/>
    </row>
    <row r="9" spans="1:15" ht="50.25" customHeight="1" x14ac:dyDescent="0.25">
      <c r="B9" s="577" t="s">
        <v>756</v>
      </c>
      <c r="C9" s="577" t="s">
        <v>757</v>
      </c>
      <c r="D9" s="578" t="s">
        <v>758</v>
      </c>
      <c r="E9" s="577" t="s">
        <v>759</v>
      </c>
      <c r="F9" s="577" t="s">
        <v>760</v>
      </c>
      <c r="G9" s="578" t="s">
        <v>761</v>
      </c>
      <c r="H9" s="578" t="s">
        <v>762</v>
      </c>
      <c r="I9" s="577" t="s">
        <v>763</v>
      </c>
      <c r="J9" s="578" t="s">
        <v>764</v>
      </c>
      <c r="K9" s="578" t="s">
        <v>765</v>
      </c>
      <c r="L9" s="578" t="s">
        <v>766</v>
      </c>
      <c r="M9" s="577" t="s">
        <v>767</v>
      </c>
      <c r="N9" s="577" t="s">
        <v>768</v>
      </c>
      <c r="O9" s="577" t="s">
        <v>769</v>
      </c>
    </row>
    <row r="10" spans="1:15" ht="26.4" x14ac:dyDescent="0.25">
      <c r="B10" s="581" t="s">
        <v>772</v>
      </c>
      <c r="C10" s="581"/>
      <c r="D10" s="581" t="s">
        <v>275</v>
      </c>
      <c r="E10" s="581" t="s">
        <v>773</v>
      </c>
      <c r="F10" s="581" t="s">
        <v>275</v>
      </c>
      <c r="G10" s="581" t="s">
        <v>275</v>
      </c>
      <c r="H10" s="581" t="s">
        <v>275</v>
      </c>
      <c r="I10" s="581" t="s">
        <v>275</v>
      </c>
      <c r="J10" s="581" t="s">
        <v>275</v>
      </c>
      <c r="K10" s="581" t="s">
        <v>275</v>
      </c>
      <c r="L10" s="581" t="s">
        <v>275</v>
      </c>
      <c r="M10" s="620" t="s">
        <v>790</v>
      </c>
      <c r="N10" s="620" t="s">
        <v>791</v>
      </c>
      <c r="O10" s="581" t="s">
        <v>275</v>
      </c>
    </row>
    <row r="11" spans="1:15" ht="27.6" x14ac:dyDescent="0.25">
      <c r="B11" s="601" t="s">
        <v>166</v>
      </c>
      <c r="C11" s="602" t="s">
        <v>792</v>
      </c>
      <c r="D11" s="585">
        <v>2E-3</v>
      </c>
      <c r="E11" s="604">
        <v>0</v>
      </c>
      <c r="F11" s="585">
        <v>0</v>
      </c>
      <c r="G11" s="585">
        <v>0</v>
      </c>
      <c r="H11" s="585">
        <v>0</v>
      </c>
      <c r="I11" s="585">
        <v>0</v>
      </c>
      <c r="J11" s="585">
        <v>0</v>
      </c>
      <c r="K11" s="585">
        <v>0</v>
      </c>
      <c r="L11" s="585">
        <v>0</v>
      </c>
      <c r="M11" s="621" t="s">
        <v>167</v>
      </c>
      <c r="N11" s="622"/>
      <c r="O11" s="585">
        <f>F11/D11</f>
        <v>0</v>
      </c>
    </row>
    <row r="12" spans="1:15" ht="27.6" x14ac:dyDescent="0.25">
      <c r="B12" s="601" t="s">
        <v>168</v>
      </c>
      <c r="C12" s="602" t="s">
        <v>793</v>
      </c>
      <c r="D12" s="585">
        <v>1.9E-2</v>
      </c>
      <c r="E12" s="604">
        <v>2</v>
      </c>
      <c r="F12" s="585">
        <v>5.0000000000000001E-3</v>
      </c>
      <c r="G12" s="585">
        <f>F12</f>
        <v>5.0000000000000001E-3</v>
      </c>
      <c r="H12" s="585">
        <v>0</v>
      </c>
      <c r="I12" s="585">
        <v>0</v>
      </c>
      <c r="J12" s="585">
        <v>0</v>
      </c>
      <c r="K12" s="585">
        <v>0</v>
      </c>
      <c r="L12" s="585">
        <v>0</v>
      </c>
      <c r="N12" s="622"/>
      <c r="O12" s="585">
        <f>F12/D12</f>
        <v>0.26315789473684209</v>
      </c>
    </row>
    <row r="13" spans="1:15" ht="41.4" x14ac:dyDescent="0.25">
      <c r="A13" s="567" t="s">
        <v>551</v>
      </c>
      <c r="B13" s="601" t="s">
        <v>794</v>
      </c>
      <c r="C13" s="602" t="s">
        <v>231</v>
      </c>
      <c r="D13" s="585">
        <v>0</v>
      </c>
      <c r="E13" s="604">
        <v>0</v>
      </c>
      <c r="F13" s="585">
        <v>0</v>
      </c>
      <c r="G13" s="585">
        <v>0</v>
      </c>
      <c r="H13" s="585">
        <v>0</v>
      </c>
      <c r="I13" s="585">
        <v>0</v>
      </c>
      <c r="J13" s="585">
        <v>0</v>
      </c>
      <c r="K13" s="585">
        <v>0</v>
      </c>
      <c r="L13" s="585">
        <v>0</v>
      </c>
      <c r="M13" s="622"/>
      <c r="N13" s="622"/>
      <c r="O13" s="585">
        <v>0</v>
      </c>
    </row>
    <row r="14" spans="1:15" ht="27.6" x14ac:dyDescent="0.25">
      <c r="B14" s="601" t="s">
        <v>795</v>
      </c>
      <c r="C14" s="602" t="s">
        <v>796</v>
      </c>
      <c r="D14" s="585">
        <v>7.0000000000000001E-3</v>
      </c>
      <c r="E14" s="604">
        <v>0</v>
      </c>
      <c r="F14" s="585">
        <v>0</v>
      </c>
      <c r="G14" s="585">
        <v>0</v>
      </c>
      <c r="H14" s="585">
        <v>0</v>
      </c>
      <c r="I14" s="585">
        <v>0</v>
      </c>
      <c r="J14" s="585">
        <v>0</v>
      </c>
      <c r="K14" s="585">
        <v>0</v>
      </c>
      <c r="L14" s="585">
        <v>0</v>
      </c>
      <c r="M14" s="622"/>
      <c r="N14" s="622"/>
      <c r="O14" s="585">
        <f t="shared" ref="O14" si="0">F14/D14</f>
        <v>0</v>
      </c>
    </row>
    <row r="15" spans="1:15" ht="28.2" thickBot="1" x14ac:dyDescent="0.3">
      <c r="A15" s="567" t="s">
        <v>551</v>
      </c>
      <c r="B15" s="601" t="s">
        <v>229</v>
      </c>
      <c r="C15" s="602" t="s">
        <v>230</v>
      </c>
      <c r="D15" s="585">
        <v>0</v>
      </c>
      <c r="E15" s="604">
        <v>0</v>
      </c>
      <c r="F15" s="585">
        <v>0</v>
      </c>
      <c r="G15" s="585">
        <v>0</v>
      </c>
      <c r="H15" s="585">
        <v>0</v>
      </c>
      <c r="I15" s="585">
        <v>0</v>
      </c>
      <c r="J15" s="585">
        <v>0</v>
      </c>
      <c r="K15" s="585">
        <v>0</v>
      </c>
      <c r="L15" s="585">
        <v>0</v>
      </c>
      <c r="M15" s="622"/>
      <c r="N15" s="622"/>
      <c r="O15" s="585">
        <v>0</v>
      </c>
    </row>
    <row r="16" spans="1:15" ht="14.4" thickBot="1" x14ac:dyDescent="0.3">
      <c r="B16" s="608" t="s">
        <v>797</v>
      </c>
      <c r="C16" s="609"/>
      <c r="D16" s="612"/>
      <c r="E16" s="623"/>
      <c r="F16" s="610"/>
      <c r="G16" s="610">
        <f>SUM(G11:G15)</f>
        <v>5.0000000000000001E-3</v>
      </c>
      <c r="H16" s="610">
        <v>0</v>
      </c>
      <c r="I16" s="610">
        <v>0</v>
      </c>
      <c r="J16" s="610">
        <v>0</v>
      </c>
      <c r="K16" s="610">
        <v>0</v>
      </c>
      <c r="L16" s="610">
        <v>0</v>
      </c>
      <c r="M16" s="611"/>
      <c r="N16" s="611"/>
      <c r="O16" s="612"/>
    </row>
    <row r="17" spans="2:15" ht="28.95" customHeight="1" thickTop="1" thickBot="1" x14ac:dyDescent="0.3">
      <c r="B17" s="613" t="s">
        <v>802</v>
      </c>
      <c r="C17" s="614"/>
      <c r="D17" s="610">
        <f>SUM(D11:D15)</f>
        <v>2.7999999999999997E-2</v>
      </c>
      <c r="E17" s="624">
        <f t="shared" ref="E17:L17" si="1">SUM(E11:E14)</f>
        <v>2</v>
      </c>
      <c r="F17" s="610">
        <f t="shared" si="1"/>
        <v>5.0000000000000001E-3</v>
      </c>
      <c r="G17" s="610">
        <f>SUM(G11:G15)</f>
        <v>5.0000000000000001E-3</v>
      </c>
      <c r="H17" s="610">
        <f t="shared" si="1"/>
        <v>0</v>
      </c>
      <c r="I17" s="610">
        <f t="shared" si="1"/>
        <v>0</v>
      </c>
      <c r="J17" s="610">
        <f t="shared" si="1"/>
        <v>0</v>
      </c>
      <c r="K17" s="610">
        <f t="shared" si="1"/>
        <v>0</v>
      </c>
      <c r="L17" s="610">
        <f t="shared" si="1"/>
        <v>0</v>
      </c>
      <c r="M17" s="610">
        <v>0</v>
      </c>
      <c r="N17" s="610">
        <v>0</v>
      </c>
      <c r="O17" s="625">
        <f>F17/D17</f>
        <v>0.1785714285714286</v>
      </c>
    </row>
    <row r="18" spans="2:15" ht="14.4" thickTop="1" x14ac:dyDescent="0.25"/>
  </sheetData>
  <mergeCells count="2">
    <mergeCell ref="G7:L7"/>
    <mergeCell ref="B3:O3"/>
  </mergeCells>
  <hyperlinks>
    <hyperlink ref="A1" location="'Table of Contents'!A1" display="Back to Table of Contents" xr:uid="{FBEDC646-697A-4AFA-BBFC-7F0473920FFA}"/>
  </hyperlinks>
  <pageMargins left="0.7" right="0.7" top="0.78740157499999996" bottom="0.78740157499999996" header="0.3" footer="0.3"/>
  <headerFooter>
    <oddHeader>&amp;L&amp;"Aptos"&amp;10&amp;K000000 Sensitivity: Restricted&amp;1#_x000D_</oddHead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028FD-86F5-4B20-AC8B-C89EEE98ADED}">
  <dimension ref="A1:O18"/>
  <sheetViews>
    <sheetView showGridLines="0" zoomScale="90" zoomScaleNormal="90" workbookViewId="0"/>
  </sheetViews>
  <sheetFormatPr baseColWidth="10" defaultColWidth="10.88671875" defaultRowHeight="13.8" x14ac:dyDescent="0.25"/>
  <cols>
    <col min="1" max="1" width="8" style="567" customWidth="1"/>
    <col min="2" max="2" width="31.77734375" style="567" customWidth="1"/>
    <col min="3" max="3" width="13.77734375" style="567" customWidth="1"/>
    <col min="4" max="6" width="17.44140625" style="567" customWidth="1"/>
    <col min="7" max="13" width="10.88671875" style="567"/>
    <col min="14" max="14" width="14.21875" style="567" customWidth="1"/>
    <col min="15" max="15" width="14.77734375" style="567" customWidth="1"/>
    <col min="16" max="16384" width="10.88671875" style="567"/>
  </cols>
  <sheetData>
    <row r="1" spans="1:15" ht="14.4" x14ac:dyDescent="0.3">
      <c r="A1" s="724" t="s">
        <v>883</v>
      </c>
    </row>
    <row r="2" spans="1:15" ht="14.4" x14ac:dyDescent="0.3">
      <c r="A2" s="724"/>
    </row>
    <row r="3" spans="1:15" ht="18" x14ac:dyDescent="0.35">
      <c r="B3" s="823" t="s">
        <v>937</v>
      </c>
      <c r="C3" s="823"/>
      <c r="D3" s="823"/>
      <c r="E3" s="823"/>
      <c r="F3" s="823"/>
      <c r="G3" s="823"/>
      <c r="H3" s="823"/>
      <c r="I3" s="823"/>
      <c r="J3" s="823"/>
      <c r="K3" s="823"/>
      <c r="L3" s="823"/>
      <c r="M3" s="823"/>
      <c r="N3" s="823"/>
      <c r="O3" s="823"/>
    </row>
    <row r="4" spans="1:15" x14ac:dyDescent="0.25">
      <c r="B4" s="568"/>
    </row>
    <row r="6" spans="1:15" ht="22.2" customHeight="1" x14ac:dyDescent="0.25">
      <c r="B6" s="571" t="s">
        <v>780</v>
      </c>
      <c r="C6" s="597"/>
      <c r="D6" s="598"/>
      <c r="E6" s="598"/>
      <c r="F6" s="598"/>
      <c r="G6" s="598"/>
      <c r="H6" s="598"/>
      <c r="I6" s="598"/>
      <c r="J6" s="598"/>
      <c r="K6" s="598"/>
      <c r="L6" s="598"/>
      <c r="M6" s="598"/>
      <c r="N6" s="598"/>
      <c r="O6" s="598"/>
    </row>
    <row r="7" spans="1:15" s="569" customFormat="1" ht="138" customHeight="1" x14ac:dyDescent="0.3">
      <c r="B7" s="572" t="s">
        <v>781</v>
      </c>
      <c r="C7" s="571" t="s">
        <v>782</v>
      </c>
      <c r="D7" s="572" t="s">
        <v>803</v>
      </c>
      <c r="E7" s="572" t="s">
        <v>804</v>
      </c>
      <c r="F7" s="572" t="s">
        <v>805</v>
      </c>
      <c r="G7" s="824" t="s">
        <v>786</v>
      </c>
      <c r="H7" s="824"/>
      <c r="I7" s="824"/>
      <c r="J7" s="824"/>
      <c r="K7" s="824"/>
      <c r="L7" s="824"/>
      <c r="M7" s="572" t="s">
        <v>787</v>
      </c>
      <c r="N7" s="572" t="s">
        <v>788</v>
      </c>
      <c r="O7" s="572" t="s">
        <v>789</v>
      </c>
    </row>
    <row r="8" spans="1:15" ht="69" customHeight="1" x14ac:dyDescent="0.25">
      <c r="B8" s="571"/>
      <c r="C8" s="571"/>
      <c r="D8" s="597"/>
      <c r="E8" s="572"/>
      <c r="F8" s="599"/>
      <c r="G8" s="573" t="s">
        <v>754</v>
      </c>
      <c r="H8" s="573" t="s">
        <v>755</v>
      </c>
      <c r="I8" s="574" t="s">
        <v>4</v>
      </c>
      <c r="J8" s="573" t="s">
        <v>164</v>
      </c>
      <c r="K8" s="573" t="s">
        <v>165</v>
      </c>
      <c r="L8" s="573" t="s">
        <v>5</v>
      </c>
      <c r="M8" s="571"/>
      <c r="N8" s="571"/>
      <c r="O8" s="571"/>
    </row>
    <row r="9" spans="1:15" ht="50.25" customHeight="1" x14ac:dyDescent="0.25">
      <c r="B9" s="577" t="s">
        <v>756</v>
      </c>
      <c r="C9" s="577" t="s">
        <v>757</v>
      </c>
      <c r="D9" s="578" t="s">
        <v>758</v>
      </c>
      <c r="E9" s="577" t="s">
        <v>759</v>
      </c>
      <c r="F9" s="577" t="s">
        <v>760</v>
      </c>
      <c r="G9" s="578" t="s">
        <v>761</v>
      </c>
      <c r="H9" s="578" t="s">
        <v>762</v>
      </c>
      <c r="I9" s="577" t="s">
        <v>763</v>
      </c>
      <c r="J9" s="578" t="s">
        <v>764</v>
      </c>
      <c r="K9" s="578" t="s">
        <v>765</v>
      </c>
      <c r="L9" s="578" t="s">
        <v>766</v>
      </c>
      <c r="M9" s="577" t="s">
        <v>767</v>
      </c>
      <c r="N9" s="577" t="s">
        <v>768</v>
      </c>
      <c r="O9" s="577" t="s">
        <v>769</v>
      </c>
    </row>
    <row r="10" spans="1:15" ht="41.4" x14ac:dyDescent="0.25">
      <c r="B10" s="581" t="s">
        <v>772</v>
      </c>
      <c r="C10" s="581"/>
      <c r="D10" s="581" t="s">
        <v>275</v>
      </c>
      <c r="E10" s="581" t="s">
        <v>773</v>
      </c>
      <c r="F10" s="581" t="s">
        <v>275</v>
      </c>
      <c r="G10" s="581" t="s">
        <v>275</v>
      </c>
      <c r="H10" s="581" t="s">
        <v>275</v>
      </c>
      <c r="I10" s="581" t="s">
        <v>275</v>
      </c>
      <c r="J10" s="581" t="s">
        <v>275</v>
      </c>
      <c r="K10" s="581" t="s">
        <v>275</v>
      </c>
      <c r="L10" s="581" t="s">
        <v>275</v>
      </c>
      <c r="M10" s="600" t="s">
        <v>790</v>
      </c>
      <c r="N10" s="600" t="s">
        <v>791</v>
      </c>
      <c r="O10" s="581" t="s">
        <v>275</v>
      </c>
    </row>
    <row r="11" spans="1:15" ht="27.6" x14ac:dyDescent="0.25">
      <c r="B11" s="601" t="s">
        <v>166</v>
      </c>
      <c r="C11" s="602" t="s">
        <v>792</v>
      </c>
      <c r="D11" s="585">
        <v>0.126</v>
      </c>
      <c r="E11" s="604">
        <v>0</v>
      </c>
      <c r="F11" s="585">
        <v>0</v>
      </c>
      <c r="G11" s="585">
        <v>0</v>
      </c>
      <c r="H11" s="585">
        <v>0</v>
      </c>
      <c r="I11" s="585">
        <v>0</v>
      </c>
      <c r="J11" s="585">
        <v>0</v>
      </c>
      <c r="K11" s="585">
        <v>0</v>
      </c>
      <c r="L11" s="585">
        <v>0</v>
      </c>
      <c r="M11" s="621" t="s">
        <v>167</v>
      </c>
      <c r="N11" s="622"/>
      <c r="O11" s="585">
        <f>F11/D11</f>
        <v>0</v>
      </c>
    </row>
    <row r="12" spans="1:15" ht="27.6" x14ac:dyDescent="0.25">
      <c r="B12" s="601" t="s">
        <v>168</v>
      </c>
      <c r="C12" s="602" t="s">
        <v>793</v>
      </c>
      <c r="D12" s="585">
        <v>0.03</v>
      </c>
      <c r="E12" s="604">
        <v>4</v>
      </c>
      <c r="F12" s="585">
        <v>2.4E-2</v>
      </c>
      <c r="G12" s="585">
        <f>F12</f>
        <v>2.4E-2</v>
      </c>
      <c r="H12" s="585">
        <v>0</v>
      </c>
      <c r="I12" s="585">
        <v>0</v>
      </c>
      <c r="J12" s="585">
        <v>0</v>
      </c>
      <c r="K12" s="585">
        <v>0</v>
      </c>
      <c r="L12" s="585">
        <v>0</v>
      </c>
      <c r="N12" s="622"/>
      <c r="O12" s="585">
        <f>F12/D12</f>
        <v>0.8</v>
      </c>
    </row>
    <row r="13" spans="1:15" ht="41.4" x14ac:dyDescent="0.25">
      <c r="B13" s="626" t="s">
        <v>794</v>
      </c>
      <c r="C13" s="602" t="s">
        <v>231</v>
      </c>
      <c r="D13" s="603">
        <v>6.0000000000000001E-3</v>
      </c>
      <c r="E13" s="604">
        <v>0</v>
      </c>
      <c r="F13" s="603">
        <v>0</v>
      </c>
      <c r="G13" s="603">
        <v>0</v>
      </c>
      <c r="H13" s="603">
        <v>0</v>
      </c>
      <c r="I13" s="603">
        <v>0</v>
      </c>
      <c r="J13" s="603">
        <v>0</v>
      </c>
      <c r="K13" s="603">
        <v>0</v>
      </c>
      <c r="L13" s="603">
        <v>0</v>
      </c>
      <c r="M13" s="605"/>
      <c r="N13" s="605"/>
      <c r="O13" s="603">
        <f>F13/D13</f>
        <v>0</v>
      </c>
    </row>
    <row r="14" spans="1:15" ht="27.6" x14ac:dyDescent="0.25">
      <c r="A14" s="567" t="s">
        <v>551</v>
      </c>
      <c r="B14" s="601" t="s">
        <v>795</v>
      </c>
      <c r="C14" s="602" t="s">
        <v>796</v>
      </c>
      <c r="D14" s="603">
        <v>0</v>
      </c>
      <c r="E14" s="604">
        <v>0</v>
      </c>
      <c r="F14" s="603">
        <v>0</v>
      </c>
      <c r="G14" s="603">
        <v>0</v>
      </c>
      <c r="H14" s="603">
        <v>0</v>
      </c>
      <c r="I14" s="603">
        <v>0</v>
      </c>
      <c r="J14" s="603">
        <v>0</v>
      </c>
      <c r="K14" s="603">
        <v>0</v>
      </c>
      <c r="L14" s="603">
        <v>0</v>
      </c>
      <c r="M14" s="605"/>
      <c r="N14" s="605"/>
      <c r="O14" s="603">
        <v>0</v>
      </c>
    </row>
    <row r="15" spans="1:15" ht="28.2" thickBot="1" x14ac:dyDescent="0.3">
      <c r="A15" s="567" t="s">
        <v>551</v>
      </c>
      <c r="B15" s="601" t="s">
        <v>229</v>
      </c>
      <c r="C15" s="602" t="s">
        <v>230</v>
      </c>
      <c r="D15" s="603">
        <v>0</v>
      </c>
      <c r="E15" s="606">
        <v>0</v>
      </c>
      <c r="F15" s="603">
        <v>0</v>
      </c>
      <c r="G15" s="603">
        <v>0</v>
      </c>
      <c r="H15" s="603">
        <v>0</v>
      </c>
      <c r="I15" s="603">
        <v>0</v>
      </c>
      <c r="J15" s="603">
        <v>0</v>
      </c>
      <c r="K15" s="603">
        <v>0</v>
      </c>
      <c r="L15" s="603">
        <v>0</v>
      </c>
      <c r="M15" s="605"/>
      <c r="N15" s="605"/>
      <c r="O15" s="603">
        <v>0</v>
      </c>
    </row>
    <row r="16" spans="1:15" ht="14.4" thickBot="1" x14ac:dyDescent="0.3">
      <c r="B16" s="608" t="s">
        <v>797</v>
      </c>
      <c r="C16" s="609"/>
      <c r="D16" s="612"/>
      <c r="E16" s="623"/>
      <c r="F16" s="610"/>
      <c r="G16" s="610">
        <f>SUM(G11:G14)</f>
        <v>2.4E-2</v>
      </c>
      <c r="H16" s="610">
        <f t="shared" ref="H16:L16" si="0">SUM(H11:H14)</f>
        <v>0</v>
      </c>
      <c r="I16" s="610">
        <f t="shared" si="0"/>
        <v>0</v>
      </c>
      <c r="J16" s="610">
        <f t="shared" si="0"/>
        <v>0</v>
      </c>
      <c r="K16" s="610">
        <f t="shared" si="0"/>
        <v>0</v>
      </c>
      <c r="L16" s="610">
        <f t="shared" si="0"/>
        <v>0</v>
      </c>
      <c r="M16" s="611"/>
      <c r="N16" s="611"/>
      <c r="O16" s="612"/>
    </row>
    <row r="17" spans="2:15" ht="28.95" customHeight="1" thickTop="1" thickBot="1" x14ac:dyDescent="0.3">
      <c r="B17" s="613" t="s">
        <v>806</v>
      </c>
      <c r="C17" s="614"/>
      <c r="D17" s="610">
        <f>SUM(D11:D15)</f>
        <v>0.16200000000000001</v>
      </c>
      <c r="E17" s="624">
        <f>SUM(E11:E15)</f>
        <v>4</v>
      </c>
      <c r="F17" s="610">
        <f>SUM(F11:F15)</f>
        <v>2.4E-2</v>
      </c>
      <c r="G17" s="610">
        <f t="shared" ref="G17:L17" si="1">SUM(G11:G14)</f>
        <v>2.4E-2</v>
      </c>
      <c r="H17" s="610">
        <f t="shared" si="1"/>
        <v>0</v>
      </c>
      <c r="I17" s="610">
        <f t="shared" si="1"/>
        <v>0</v>
      </c>
      <c r="J17" s="610">
        <f t="shared" si="1"/>
        <v>0</v>
      </c>
      <c r="K17" s="610">
        <f>SUM(K11:K14)</f>
        <v>0</v>
      </c>
      <c r="L17" s="610">
        <f t="shared" si="1"/>
        <v>0</v>
      </c>
      <c r="M17" s="610">
        <v>0</v>
      </c>
      <c r="N17" s="610">
        <v>0</v>
      </c>
      <c r="O17" s="625">
        <f>F17/D17</f>
        <v>0.14814814814814814</v>
      </c>
    </row>
    <row r="18" spans="2:15" ht="14.4" thickTop="1" x14ac:dyDescent="0.25"/>
  </sheetData>
  <mergeCells count="2">
    <mergeCell ref="G7:L7"/>
    <mergeCell ref="B3:O3"/>
  </mergeCells>
  <hyperlinks>
    <hyperlink ref="A1" location="'Table of Contents'!A1" display="Back to Table of Contents" xr:uid="{2B222835-B86D-4D6F-95BE-A955B8F41D16}"/>
  </hyperlinks>
  <pageMargins left="0.7" right="0.7" top="0.78740157499999996" bottom="0.78740157499999996" header="0.3" footer="0.3"/>
  <headerFooter>
    <oddHeader>&amp;L&amp;"Aptos"&amp;10&amp;K000000 Sensitivity: Restricted&amp;1#_x000D_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1D297-40D3-4C96-9916-3C7812CDCB54}">
  <sheetPr>
    <pageSetUpPr fitToPage="1"/>
  </sheetPr>
  <dimension ref="B2:C61"/>
  <sheetViews>
    <sheetView showGridLines="0" zoomScale="85" zoomScaleNormal="85" workbookViewId="0"/>
  </sheetViews>
  <sheetFormatPr baseColWidth="10" defaultColWidth="8.44140625" defaultRowHeight="14.4" x14ac:dyDescent="0.3"/>
  <cols>
    <col min="2" max="2" width="73.44140625" customWidth="1"/>
    <col min="3" max="3" width="57.44140625" customWidth="1"/>
    <col min="9" max="10" width="8.44140625" customWidth="1"/>
  </cols>
  <sheetData>
    <row r="2" spans="2:3" ht="15.75" customHeight="1" x14ac:dyDescent="0.3">
      <c r="B2" s="740" t="s">
        <v>0</v>
      </c>
      <c r="C2" s="740"/>
    </row>
    <row r="3" spans="2:3" ht="15" customHeight="1" x14ac:dyDescent="0.3">
      <c r="B3" s="740"/>
      <c r="C3" s="740"/>
    </row>
    <row r="4" spans="2:3" ht="18" x14ac:dyDescent="0.35">
      <c r="B4" s="3"/>
      <c r="C4" s="3"/>
    </row>
    <row r="5" spans="2:3" ht="15.6" x14ac:dyDescent="0.3">
      <c r="B5" s="69" t="s">
        <v>335</v>
      </c>
      <c r="C5" s="70"/>
    </row>
    <row r="6" spans="2:3" x14ac:dyDescent="0.3">
      <c r="B6" s="72"/>
      <c r="C6" s="72"/>
    </row>
    <row r="7" spans="2:3" x14ac:dyDescent="0.3">
      <c r="B7" s="78" t="s">
        <v>1</v>
      </c>
      <c r="C7" s="73"/>
    </row>
    <row r="8" spans="2:3" x14ac:dyDescent="0.3">
      <c r="B8" s="54"/>
      <c r="C8" s="54"/>
    </row>
    <row r="9" spans="2:3" x14ac:dyDescent="0.3">
      <c r="B9" s="74" t="s">
        <v>336</v>
      </c>
      <c r="C9" s="75"/>
    </row>
    <row r="10" spans="2:3" x14ac:dyDescent="0.3">
      <c r="B10" s="74" t="s">
        <v>671</v>
      </c>
      <c r="C10" s="75"/>
    </row>
    <row r="11" spans="2:3" x14ac:dyDescent="0.3">
      <c r="B11" s="74" t="s">
        <v>672</v>
      </c>
      <c r="C11" s="75"/>
    </row>
    <row r="12" spans="2:3" x14ac:dyDescent="0.3">
      <c r="B12" s="74" t="s">
        <v>673</v>
      </c>
      <c r="C12" s="75"/>
    </row>
    <row r="13" spans="2:3" ht="16.5" customHeight="1" x14ac:dyDescent="0.3">
      <c r="B13" s="1"/>
      <c r="C13" s="1"/>
    </row>
    <row r="14" spans="2:3" ht="15.6" x14ac:dyDescent="0.3">
      <c r="B14" s="69" t="s">
        <v>334</v>
      </c>
      <c r="C14" s="70"/>
    </row>
    <row r="15" spans="2:3" x14ac:dyDescent="0.3">
      <c r="B15" s="72"/>
      <c r="C15" s="72"/>
    </row>
    <row r="16" spans="2:3" x14ac:dyDescent="0.3">
      <c r="B16" s="78" t="s">
        <v>1</v>
      </c>
      <c r="C16" s="73"/>
    </row>
    <row r="17" spans="2:3" x14ac:dyDescent="0.3">
      <c r="B17" s="54"/>
      <c r="C17" s="54"/>
    </row>
    <row r="18" spans="2:3" x14ac:dyDescent="0.3">
      <c r="B18" s="74" t="s">
        <v>331</v>
      </c>
      <c r="C18" s="75"/>
    </row>
    <row r="19" spans="2:3" x14ac:dyDescent="0.3">
      <c r="B19" s="74" t="s">
        <v>332</v>
      </c>
      <c r="C19" s="75"/>
    </row>
    <row r="20" spans="2:3" x14ac:dyDescent="0.3">
      <c r="B20" s="74" t="s">
        <v>2</v>
      </c>
      <c r="C20" s="75"/>
    </row>
    <row r="21" spans="2:3" x14ac:dyDescent="0.3">
      <c r="B21" s="74" t="s">
        <v>889</v>
      </c>
      <c r="C21" s="75"/>
    </row>
    <row r="22" spans="2:3" x14ac:dyDescent="0.3">
      <c r="B22" s="74" t="s">
        <v>890</v>
      </c>
      <c r="C22" s="75"/>
    </row>
    <row r="23" spans="2:3" x14ac:dyDescent="0.3">
      <c r="B23" s="74" t="s">
        <v>891</v>
      </c>
      <c r="C23" s="75"/>
    </row>
    <row r="24" spans="2:3" x14ac:dyDescent="0.3">
      <c r="B24" s="74" t="s">
        <v>895</v>
      </c>
      <c r="C24" s="75"/>
    </row>
    <row r="25" spans="2:3" x14ac:dyDescent="0.3">
      <c r="B25" s="74" t="s">
        <v>4</v>
      </c>
      <c r="C25" s="75"/>
    </row>
    <row r="26" spans="2:3" x14ac:dyDescent="0.3">
      <c r="B26" s="74" t="s">
        <v>333</v>
      </c>
      <c r="C26" s="75"/>
    </row>
    <row r="27" spans="2:3" x14ac:dyDescent="0.3">
      <c r="B27" s="74" t="s">
        <v>5</v>
      </c>
      <c r="C27" s="75"/>
    </row>
    <row r="28" spans="2:3" x14ac:dyDescent="0.3">
      <c r="B28" s="72"/>
      <c r="C28" s="72"/>
    </row>
    <row r="29" spans="2:3" ht="15.6" x14ac:dyDescent="0.3">
      <c r="B29" s="69" t="s">
        <v>901</v>
      </c>
      <c r="C29" s="70"/>
    </row>
    <row r="30" spans="2:3" x14ac:dyDescent="0.3">
      <c r="B30" s="72"/>
      <c r="C30" s="72"/>
    </row>
    <row r="31" spans="2:3" x14ac:dyDescent="0.3">
      <c r="B31" s="78" t="s">
        <v>1</v>
      </c>
      <c r="C31" s="73"/>
    </row>
    <row r="32" spans="2:3" x14ac:dyDescent="0.3">
      <c r="B32" s="73"/>
      <c r="C32" s="73"/>
    </row>
    <row r="33" spans="2:3" x14ac:dyDescent="0.3">
      <c r="B33" s="74" t="s">
        <v>337</v>
      </c>
      <c r="C33" s="75"/>
    </row>
    <row r="34" spans="2:3" x14ac:dyDescent="0.3">
      <c r="B34" s="74" t="s">
        <v>897</v>
      </c>
      <c r="C34" s="75"/>
    </row>
    <row r="35" spans="2:3" x14ac:dyDescent="0.3">
      <c r="B35" s="74" t="s">
        <v>898</v>
      </c>
      <c r="C35" s="75"/>
    </row>
    <row r="36" spans="2:3" x14ac:dyDescent="0.3">
      <c r="B36" s="74" t="s">
        <v>6</v>
      </c>
      <c r="C36" s="75"/>
    </row>
    <row r="37" spans="2:3" x14ac:dyDescent="0.3">
      <c r="B37" s="74" t="s">
        <v>19</v>
      </c>
      <c r="C37" s="75"/>
    </row>
    <row r="38" spans="2:3" x14ac:dyDescent="0.3">
      <c r="B38" s="74" t="s">
        <v>896</v>
      </c>
      <c r="C38" s="75"/>
    </row>
    <row r="39" spans="2:3" x14ac:dyDescent="0.3">
      <c r="B39" s="74" t="s">
        <v>244</v>
      </c>
      <c r="C39" s="75"/>
    </row>
    <row r="40" spans="2:3" x14ac:dyDescent="0.3">
      <c r="B40" s="74" t="s">
        <v>7</v>
      </c>
      <c r="C40" s="75"/>
    </row>
    <row r="41" spans="2:3" x14ac:dyDescent="0.3">
      <c r="B41" s="72"/>
      <c r="C41" s="72"/>
    </row>
    <row r="42" spans="2:3" ht="15.6" x14ac:dyDescent="0.3">
      <c r="B42" s="69" t="s">
        <v>8</v>
      </c>
      <c r="C42" s="70"/>
    </row>
    <row r="43" spans="2:3" x14ac:dyDescent="0.3">
      <c r="B43" s="77"/>
      <c r="C43" s="76"/>
    </row>
    <row r="44" spans="2:3" x14ac:dyDescent="0.3">
      <c r="B44" s="74" t="s">
        <v>232</v>
      </c>
      <c r="C44" s="75"/>
    </row>
    <row r="45" spans="2:3" x14ac:dyDescent="0.3">
      <c r="B45" s="74" t="s">
        <v>9</v>
      </c>
      <c r="C45" s="75"/>
    </row>
    <row r="46" spans="2:3" x14ac:dyDescent="0.3">
      <c r="B46" s="74" t="s">
        <v>10</v>
      </c>
      <c r="C46" s="75"/>
    </row>
    <row r="47" spans="2:3" x14ac:dyDescent="0.3">
      <c r="B47" s="74" t="s">
        <v>927</v>
      </c>
      <c r="C47" s="75"/>
    </row>
    <row r="48" spans="2:3" x14ac:dyDescent="0.3">
      <c r="B48" s="74" t="s">
        <v>911</v>
      </c>
      <c r="C48" s="75"/>
    </row>
    <row r="49" spans="2:3" x14ac:dyDescent="0.3">
      <c r="B49" s="74" t="s">
        <v>11</v>
      </c>
      <c r="C49" s="75"/>
    </row>
    <row r="50" spans="2:3" x14ac:dyDescent="0.3">
      <c r="B50" s="74" t="s">
        <v>900</v>
      </c>
      <c r="C50" s="75"/>
    </row>
    <row r="51" spans="2:3" x14ac:dyDescent="0.3">
      <c r="B51" s="74" t="s">
        <v>12</v>
      </c>
      <c r="C51" s="75"/>
    </row>
    <row r="52" spans="2:3" x14ac:dyDescent="0.3">
      <c r="B52" s="54"/>
      <c r="C52" s="54"/>
    </row>
    <row r="53" spans="2:3" ht="15.6" x14ac:dyDescent="0.3">
      <c r="B53" s="69" t="s">
        <v>899</v>
      </c>
      <c r="C53" s="70"/>
    </row>
    <row r="54" spans="2:3" x14ac:dyDescent="0.3">
      <c r="B54" s="54"/>
      <c r="C54" s="54"/>
    </row>
    <row r="55" spans="2:3" x14ac:dyDescent="0.3">
      <c r="B55" s="74" t="s">
        <v>13</v>
      </c>
      <c r="C55" s="75"/>
    </row>
    <row r="56" spans="2:3" x14ac:dyDescent="0.3">
      <c r="B56" s="74" t="s">
        <v>14</v>
      </c>
      <c r="C56" s="75"/>
    </row>
    <row r="57" spans="2:3" x14ac:dyDescent="0.3">
      <c r="B57" s="74" t="s">
        <v>879</v>
      </c>
      <c r="C57" s="75"/>
    </row>
    <row r="58" spans="2:3" x14ac:dyDescent="0.3">
      <c r="B58" s="74" t="s">
        <v>880</v>
      </c>
      <c r="C58" s="75"/>
    </row>
    <row r="59" spans="2:3" x14ac:dyDescent="0.3">
      <c r="B59" s="74" t="s">
        <v>881</v>
      </c>
      <c r="C59" s="75"/>
    </row>
    <row r="60" spans="2:3" x14ac:dyDescent="0.3">
      <c r="B60" s="74" t="s">
        <v>882</v>
      </c>
      <c r="C60" s="75"/>
    </row>
    <row r="61" spans="2:3" x14ac:dyDescent="0.3">
      <c r="B61" s="74" t="s">
        <v>878</v>
      </c>
      <c r="C61" s="75"/>
    </row>
  </sheetData>
  <mergeCells count="1">
    <mergeCell ref="B2:C3"/>
  </mergeCells>
  <hyperlinks>
    <hyperlink ref="B55" location="'ESG Ratings'!A1" display="ESG Ratings" xr:uid="{355E06A0-3330-4660-A222-E048E947B265}"/>
    <hyperlink ref="B56" location="SDGs!A1" display="SDGs" xr:uid="{9C30112A-AAB0-4DAF-A1B4-FF51CEFBC123}"/>
    <hyperlink ref="B45" r:id="rId1" xr:uid="{C4C5B38C-1183-4E53-8782-D7C372B941F8}"/>
    <hyperlink ref="B46" r:id="rId2" xr:uid="{EE336AA0-1376-4488-A652-31469380243E}"/>
    <hyperlink ref="B49" r:id="rId3" xr:uid="{AB0F6FED-F906-4356-A9F9-03BCE44005FD}"/>
    <hyperlink ref="B44" r:id="rId4" location="section-flex2" display="Policies &amp; Supporting Documents " xr:uid="{DE979E38-5230-4666-BFA9-1C68EA856D0A}"/>
    <hyperlink ref="B9" location="'Targets 2025 '!A1" display="Targets 2025" xr:uid="{6FD8E580-CB7A-493D-A50A-917EED4901E4}"/>
    <hyperlink ref="B10" location="'Targets 2030'!A1" display="Targets 2030" xr:uid="{B330FB7F-3F8C-4336-AB63-A4B673D7F847}"/>
    <hyperlink ref="B11" location="'Targets Climate'!A1" display="Targets Climate" xr:uid="{74742ED6-9914-4F40-86A1-87E052467F79}"/>
    <hyperlink ref="B12" location="'Targets Energy'!A1" display="Targets Energy" xr:uid="{C76ABFBF-CB2F-4FFD-95D0-E1E85DAD0988}"/>
    <hyperlink ref="B51" location="'ISO Certifications'!A1" display="ISO Certifications " xr:uid="{496DD354-5E3B-4EB8-8D32-98014ECE1E6F}"/>
    <hyperlink ref="B50" r:id="rId5" display="Modern Slavery Act Statement" xr:uid="{CFB9F1B8-04CA-4CBD-8F54-6B6B625EA657}"/>
    <hyperlink ref="B57" location="Taxonomy_Summary!A1" display="Taxonomy (Summary)" xr:uid="{BDDC3FC0-B9C6-4C4B-B844-DA95147E9B8D}"/>
    <hyperlink ref="B58" location="Taxonomy_Turnover!A1" display="Taxonomy Revenue" xr:uid="{BABE6585-3F20-4C0A-8BEB-BC06EDC0E485}"/>
    <hyperlink ref="B59" location="Taxonomy_CapEx!A1" display="Taxonomy CapEx" xr:uid="{29945103-5981-46F8-A8FC-B09F93CFFDBA}"/>
    <hyperlink ref="B60" location="Taxonomy_OpEx!A1" display="Taxonomy OpEx" xr:uid="{C728A515-FE68-4A82-B0C4-FF8FCACC2D62}"/>
    <hyperlink ref="B61" r:id="rId6" xr:uid="{5DBF9544-E4AC-4A6A-9F25-E0541709FC2F}"/>
    <hyperlink ref="B18" location="'GHG emissions'!A1" display="GHG Emissions" xr:uid="{B3FB9661-7111-4505-BEA1-7BE0CF44421F}"/>
    <hyperlink ref="B19" location="'  GHG emissions methodology'!A1" display="GHG emissions methodology" xr:uid="{808D14E7-A20C-4F0A-B196-105E1C5A6E10}"/>
    <hyperlink ref="B20" location="Energy!A1" display="Energy" xr:uid="{BD38665D-C03C-4107-8BBD-A372F5F268DD}"/>
    <hyperlink ref="B21" location="'Energy methodology'!A1" display="Energy methodology" xr:uid="{7F0CD9D1-F44D-4CF4-9BD5-EA9EC45E531A}"/>
    <hyperlink ref="B22" location="' Physical Climate Risks'!A1" display="Physical Climate Risks" xr:uid="{D1AD312E-32FD-467D-9A10-992E82DF458E}"/>
    <hyperlink ref="B23" location="'Transitional Climate Risks'!A1" display="Transitional Climate Risks and Opportunities" xr:uid="{B505061B-D608-4304-9CE9-8B4F6C6FCBA4}"/>
    <hyperlink ref="B24" location="'Air emissions'!A1" display="Air emissions" xr:uid="{95A68D32-6D80-4F5D-AF3D-2A44675CCA09}"/>
    <hyperlink ref="B25" location="'Water '!A1" display="Water" xr:uid="{DBC40C27-3301-4FAE-B023-ACEA726631B7}"/>
    <hyperlink ref="B26" location="'Resources Use and Waste'!A1" display="Resource use and waste" xr:uid="{A193423B-A771-4B5E-B694-F0398A6009B8}"/>
    <hyperlink ref="B27" location="'Biodiversity '!A1" display="Biodiversity" xr:uid="{81DE92CA-EF1E-427E-B33D-6D91FA13BEA2}"/>
    <hyperlink ref="B33" location="'Own Workforce'!A1" display="Own Workforce" xr:uid="{60B9D60B-1A33-4930-B08B-95BA2666AFE3}"/>
    <hyperlink ref="B34" location="'Own Workforce by country'!A1" display="Own Workforce by Country" xr:uid="{567E49BB-D9A8-4745-8751-435147C18BE8}"/>
    <hyperlink ref="B35" location="'Own Workforce by region'!A1" display="Own Workforce by Region" xr:uid="{7A477244-6DB0-4C3D-8DA8-5AB1E6068563}"/>
    <hyperlink ref="B36" location="'Health and Safety'!A1" display="Health &amp; Safety" xr:uid="{B62F1CD5-6366-41AE-B487-6B81CE1F809F}"/>
    <hyperlink ref="B37" location="Diversity!A1" display="Diversity" xr:uid="{BB45CA60-F2BA-4A69-840B-4E6FC13143FE}"/>
    <hyperlink ref="B38" location="' Human Rights'!A1" display="Human Rights" xr:uid="{B0395C05-17D3-4473-ADFB-B98018AA50DD}"/>
    <hyperlink ref="B39" location="'Social Dialogue'!A1" display="Social Dialogue" xr:uid="{A5000C3B-CEE9-4238-BE15-2333F0472D28}"/>
    <hyperlink ref="B40" location="Communities!A1" display="Communities " xr:uid="{FAF0CF09-7CB4-4723-AE2F-5C44AAC19E1A}"/>
    <hyperlink ref="B48" location="'Supply Chain DD'!A1" display="Supply Chain Due Diligence" xr:uid="{7CBB030A-8161-4252-8299-DA025C3EAE76}"/>
    <hyperlink ref="B47" location="'Corruption&amp;Bribery'!A1" display="Corruption and Bribery" xr:uid="{5B164418-6981-4026-8B94-E923DBDDD95E}"/>
  </hyperlinks>
  <pageMargins left="0.7" right="0.7" top="0.75" bottom="0.75" header="0.3" footer="0.3"/>
  <pageSetup paperSize="9" scale="65" orientation="landscape" r:id="rId7"/>
  <picture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65806-4BD1-4FD9-939D-49147A32C5CA}">
  <dimension ref="A1:R21"/>
  <sheetViews>
    <sheetView showGridLines="0" topLeftCell="A3" zoomScaleNormal="100" workbookViewId="0">
      <selection activeCell="B10" sqref="B10"/>
    </sheetView>
  </sheetViews>
  <sheetFormatPr baseColWidth="10" defaultColWidth="8.6640625" defaultRowHeight="14.4" x14ac:dyDescent="0.3"/>
  <cols>
    <col min="1" max="1" width="4.33203125" style="150" customWidth="1"/>
    <col min="2" max="2" width="28.33203125" style="196" bestFit="1" customWidth="1"/>
    <col min="3" max="3" width="34.44140625" style="196" hidden="1" customWidth="1"/>
    <col min="4" max="4" width="33.33203125" style="196" hidden="1" customWidth="1"/>
    <col min="5" max="5" width="32.77734375" style="196" hidden="1" customWidth="1"/>
    <col min="6" max="6" width="11.6640625" style="153" customWidth="1"/>
    <col min="7" max="8" width="10.6640625" style="153" bestFit="1" customWidth="1"/>
    <col min="9" max="11" width="10.6640625" style="153" customWidth="1"/>
    <col min="12" max="12" width="11.33203125" style="153" bestFit="1" customWidth="1"/>
    <col min="13" max="13" width="11.33203125" style="153" customWidth="1"/>
    <col min="14" max="14" width="11.44140625" style="154" customWidth="1"/>
    <col min="15" max="15" width="15.77734375" style="153" customWidth="1"/>
    <col min="16" max="16384" width="8.6640625" style="150"/>
  </cols>
  <sheetData>
    <row r="1" spans="1:18" x14ac:dyDescent="0.3">
      <c r="A1" s="119" t="s">
        <v>883</v>
      </c>
    </row>
    <row r="3" spans="1:18" ht="30" customHeight="1" x14ac:dyDescent="0.3">
      <c r="B3" s="741" t="s">
        <v>477</v>
      </c>
      <c r="C3" s="741"/>
      <c r="D3" s="741"/>
      <c r="E3" s="741"/>
      <c r="F3" s="741"/>
      <c r="G3" s="741"/>
      <c r="H3" s="741"/>
      <c r="I3" s="741"/>
      <c r="J3" s="741"/>
      <c r="K3" s="741"/>
      <c r="L3" s="741"/>
      <c r="M3" s="741"/>
      <c r="N3" s="741"/>
      <c r="O3" s="741"/>
    </row>
    <row r="4" spans="1:18" ht="20.7" customHeight="1" x14ac:dyDescent="0.3">
      <c r="B4" s="151"/>
      <c r="C4" s="151"/>
      <c r="D4" s="151"/>
      <c r="E4" s="151"/>
      <c r="F4" s="152"/>
      <c r="G4" s="152"/>
      <c r="H4" s="152"/>
      <c r="I4" s="152"/>
    </row>
    <row r="6" spans="1:18" ht="31.8" thickBot="1" x14ac:dyDescent="0.35">
      <c r="B6" s="155"/>
      <c r="C6" s="156" t="s">
        <v>16</v>
      </c>
      <c r="D6" s="157" t="s">
        <v>478</v>
      </c>
      <c r="E6" s="158"/>
      <c r="F6" s="159">
        <v>2018</v>
      </c>
      <c r="G6" s="159">
        <v>2019</v>
      </c>
      <c r="H6" s="159">
        <v>2020</v>
      </c>
      <c r="I6" s="159">
        <v>2021</v>
      </c>
      <c r="J6" s="160">
        <v>2022</v>
      </c>
      <c r="K6" s="160">
        <v>2023</v>
      </c>
      <c r="L6" s="160">
        <v>2024</v>
      </c>
      <c r="M6" s="160">
        <v>2025</v>
      </c>
      <c r="N6" s="161" t="s">
        <v>204</v>
      </c>
      <c r="O6" s="162" t="s">
        <v>479</v>
      </c>
    </row>
    <row r="7" spans="1:18" ht="43.2" hidden="1" customHeight="1" x14ac:dyDescent="0.3">
      <c r="B7" s="163"/>
      <c r="C7" s="742" t="s">
        <v>480</v>
      </c>
      <c r="D7" s="743" t="s">
        <v>481</v>
      </c>
      <c r="E7" s="165" t="s">
        <v>482</v>
      </c>
      <c r="F7" s="166">
        <v>5552</v>
      </c>
      <c r="G7" s="166">
        <v>4773</v>
      </c>
      <c r="H7" s="166">
        <v>4357</v>
      </c>
      <c r="I7" s="166">
        <v>5075</v>
      </c>
      <c r="J7" s="166">
        <v>4261</v>
      </c>
      <c r="K7" s="166">
        <v>4293</v>
      </c>
      <c r="L7" s="167">
        <v>5961</v>
      </c>
      <c r="M7" s="167"/>
      <c r="N7" s="168"/>
      <c r="O7" s="169">
        <f t="shared" ref="O7:O11" si="0">+L7/F7-1</f>
        <v>7.3667146974063291E-2</v>
      </c>
      <c r="R7" s="150">
        <v>2826.3649999999998</v>
      </c>
    </row>
    <row r="8" spans="1:18" ht="43.2" customHeight="1" x14ac:dyDescent="0.3">
      <c r="B8" s="170" t="s">
        <v>483</v>
      </c>
      <c r="C8" s="742"/>
      <c r="D8" s="744"/>
      <c r="E8" s="165" t="s">
        <v>484</v>
      </c>
      <c r="F8" s="172">
        <v>1.82</v>
      </c>
      <c r="G8" s="172">
        <v>1.79</v>
      </c>
      <c r="H8" s="172">
        <v>1.83</v>
      </c>
      <c r="I8" s="172">
        <v>1.74</v>
      </c>
      <c r="J8" s="172">
        <v>1.68</v>
      </c>
      <c r="K8" s="172">
        <v>1.59</v>
      </c>
      <c r="L8" s="172">
        <v>1.57</v>
      </c>
      <c r="M8" s="173">
        <v>1.54</v>
      </c>
      <c r="N8" s="174">
        <f>F8*0.85</f>
        <v>1.5469999999999999</v>
      </c>
      <c r="O8" s="175">
        <f>+M8/F8-1</f>
        <v>-0.15384615384615385</v>
      </c>
      <c r="P8" s="176"/>
      <c r="Q8" s="177"/>
    </row>
    <row r="9" spans="1:18" ht="43.2" customHeight="1" x14ac:dyDescent="0.3">
      <c r="B9" s="170" t="s">
        <v>485</v>
      </c>
      <c r="C9" s="164" t="s">
        <v>460</v>
      </c>
      <c r="D9" s="171" t="s">
        <v>486</v>
      </c>
      <c r="E9" s="178" t="s">
        <v>487</v>
      </c>
      <c r="F9" s="179">
        <v>1.92</v>
      </c>
      <c r="G9" s="179">
        <v>1.88</v>
      </c>
      <c r="H9" s="179">
        <v>1.9</v>
      </c>
      <c r="I9" s="179">
        <v>1.81</v>
      </c>
      <c r="J9" s="179">
        <v>1.87</v>
      </c>
      <c r="K9" s="179">
        <v>1.74</v>
      </c>
      <c r="L9" s="179">
        <v>1.78</v>
      </c>
      <c r="M9" s="180">
        <v>1.74</v>
      </c>
      <c r="N9" s="181">
        <f>+F9*0.95</f>
        <v>1.8239999999999998</v>
      </c>
      <c r="O9" s="175">
        <f>+M9/F9-1</f>
        <v>-9.375E-2</v>
      </c>
      <c r="P9" s="176"/>
    </row>
    <row r="10" spans="1:18" ht="42.45" customHeight="1" x14ac:dyDescent="0.3">
      <c r="B10" s="182" t="s">
        <v>488</v>
      </c>
      <c r="C10" s="178" t="s">
        <v>205</v>
      </c>
      <c r="D10" s="171" t="s">
        <v>489</v>
      </c>
      <c r="E10" s="165" t="s">
        <v>18</v>
      </c>
      <c r="F10" s="183">
        <v>3.7999999999999999E-2</v>
      </c>
      <c r="G10" s="183">
        <v>4.5999999999999999E-2</v>
      </c>
      <c r="H10" s="183">
        <v>0.05</v>
      </c>
      <c r="I10" s="183">
        <v>6.8000000000000005E-2</v>
      </c>
      <c r="J10" s="183">
        <v>0.105</v>
      </c>
      <c r="K10" s="183">
        <v>0.126</v>
      </c>
      <c r="L10" s="183">
        <v>0.14199999999999999</v>
      </c>
      <c r="M10" s="184">
        <v>0.159</v>
      </c>
      <c r="N10" s="185">
        <v>0.15</v>
      </c>
      <c r="O10" s="175">
        <f>+M10/F10-1</f>
        <v>3.1842105263157894</v>
      </c>
      <c r="P10" s="176"/>
    </row>
    <row r="11" spans="1:18" ht="42" customHeight="1" x14ac:dyDescent="0.3">
      <c r="B11" s="170" t="s">
        <v>490</v>
      </c>
      <c r="C11" s="742" t="s">
        <v>20</v>
      </c>
      <c r="D11" s="746" t="s">
        <v>491</v>
      </c>
      <c r="E11" s="186" t="s">
        <v>21</v>
      </c>
      <c r="F11" s="187">
        <v>7.0000000000000007E-2</v>
      </c>
      <c r="G11" s="187">
        <v>0.23</v>
      </c>
      <c r="H11" s="187">
        <v>0.25</v>
      </c>
      <c r="I11" s="187">
        <v>0.38</v>
      </c>
      <c r="J11" s="187">
        <v>0.33</v>
      </c>
      <c r="K11" s="187">
        <v>0.28999999999999998</v>
      </c>
      <c r="L11" s="187">
        <v>0.33</v>
      </c>
      <c r="M11" s="188">
        <v>0.33</v>
      </c>
      <c r="N11" s="185">
        <v>0.33</v>
      </c>
      <c r="O11" s="175">
        <f t="shared" si="0"/>
        <v>3.7142857142857144</v>
      </c>
      <c r="P11" s="176"/>
    </row>
    <row r="12" spans="1:18" ht="46.95" customHeight="1" x14ac:dyDescent="0.3">
      <c r="B12" s="189" t="s">
        <v>492</v>
      </c>
      <c r="C12" s="745"/>
      <c r="D12" s="747"/>
      <c r="E12" s="165" t="s">
        <v>22</v>
      </c>
      <c r="F12" s="187">
        <v>0.12</v>
      </c>
      <c r="G12" s="187">
        <v>0.17</v>
      </c>
      <c r="H12" s="187">
        <v>0.25</v>
      </c>
      <c r="I12" s="187">
        <v>0.22</v>
      </c>
      <c r="J12" s="187">
        <v>0.21</v>
      </c>
      <c r="K12" s="187">
        <v>0.28000000000000003</v>
      </c>
      <c r="L12" s="187">
        <v>0.26</v>
      </c>
      <c r="M12" s="188">
        <v>0.33</v>
      </c>
      <c r="N12" s="185">
        <v>0.33</v>
      </c>
      <c r="O12" s="175">
        <f>+M12/F12-1</f>
        <v>1.7500000000000004</v>
      </c>
    </row>
    <row r="13" spans="1:18" ht="42.45" customHeight="1" x14ac:dyDescent="0.3">
      <c r="B13" s="189" t="s">
        <v>493</v>
      </c>
      <c r="C13" s="190" t="s">
        <v>494</v>
      </c>
      <c r="D13" s="171" t="s">
        <v>495</v>
      </c>
      <c r="E13" s="165" t="s">
        <v>23</v>
      </c>
      <c r="F13" s="191">
        <v>0.43</v>
      </c>
      <c r="G13" s="191">
        <v>0.28000000000000003</v>
      </c>
      <c r="H13" s="191">
        <v>0.13</v>
      </c>
      <c r="I13" s="191">
        <v>0.19</v>
      </c>
      <c r="J13" s="192">
        <v>0.2</v>
      </c>
      <c r="K13" s="192">
        <v>0.16</v>
      </c>
      <c r="L13" s="192">
        <v>0.11</v>
      </c>
      <c r="M13" s="193">
        <v>0.37</v>
      </c>
      <c r="N13" s="194" t="s">
        <v>447</v>
      </c>
      <c r="O13" s="175">
        <f>+M13/F13-1</f>
        <v>-0.13953488372093026</v>
      </c>
      <c r="P13" s="176"/>
    </row>
    <row r="14" spans="1:18" x14ac:dyDescent="0.3">
      <c r="B14" s="195" t="s">
        <v>511</v>
      </c>
    </row>
    <row r="16" spans="1:18" x14ac:dyDescent="0.3">
      <c r="B16" s="195"/>
      <c r="I16" s="197"/>
      <c r="J16" s="197"/>
      <c r="K16" s="197"/>
      <c r="L16" s="197"/>
      <c r="M16" s="197"/>
      <c r="N16" s="198"/>
    </row>
    <row r="17" spans="2:7" x14ac:dyDescent="0.3">
      <c r="B17" s="195"/>
    </row>
    <row r="18" spans="2:7" x14ac:dyDescent="0.3">
      <c r="B18" s="195"/>
    </row>
    <row r="19" spans="2:7" x14ac:dyDescent="0.3">
      <c r="B19" s="195"/>
    </row>
    <row r="20" spans="2:7" x14ac:dyDescent="0.3">
      <c r="B20" s="195"/>
    </row>
    <row r="21" spans="2:7" x14ac:dyDescent="0.3">
      <c r="B21" s="195"/>
      <c r="F21" s="199"/>
      <c r="G21" s="199"/>
    </row>
  </sheetData>
  <mergeCells count="5">
    <mergeCell ref="B3:O3"/>
    <mergeCell ref="C7:C8"/>
    <mergeCell ref="D7:D8"/>
    <mergeCell ref="C11:C12"/>
    <mergeCell ref="D11:D12"/>
  </mergeCells>
  <hyperlinks>
    <hyperlink ref="A1" location="'Table of Contents'!A1" display="Back to Table of Contents" xr:uid="{D24524C3-724D-48CA-9D10-45792C2D9141}"/>
  </hyperlinks>
  <pageMargins left="0.7" right="0.7" top="0.75" bottom="0.75" header="0.3" footer="0.3"/>
  <pageSetup paperSize="9" scale="44" orientation="portrait" r:id="rId1"/>
  <headerFooter>
    <oddHeader>&amp;L&amp;"Aptos"&amp;10&amp;K000000 Sensitivity: Restricted&amp;1#_x000D_</oddHeader>
  </headerFooter>
  <pictur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51300-8B1F-4694-8233-715AD40AA3AB}">
  <dimension ref="A1:N17"/>
  <sheetViews>
    <sheetView showGridLines="0" zoomScaleNormal="100" workbookViewId="0">
      <selection activeCell="B3" sqref="B3:G3"/>
    </sheetView>
  </sheetViews>
  <sheetFormatPr baseColWidth="10" defaultColWidth="10.88671875" defaultRowHeight="13.8" x14ac:dyDescent="0.3"/>
  <cols>
    <col min="1" max="1" width="4.44140625" style="200" customWidth="1"/>
    <col min="2" max="2" width="24.6640625" style="200" customWidth="1"/>
    <col min="3" max="3" width="40.33203125" style="207" bestFit="1" customWidth="1"/>
    <col min="4" max="4" width="33.21875" style="200" customWidth="1"/>
    <col min="5" max="7" width="13.77734375" style="200" customWidth="1"/>
    <col min="8" max="258" width="10.88671875" style="200"/>
    <col min="259" max="259" width="18.77734375" style="200" customWidth="1"/>
    <col min="260" max="260" width="33.33203125" style="200" customWidth="1"/>
    <col min="261" max="261" width="23.21875" style="200" customWidth="1"/>
    <col min="262" max="514" width="10.88671875" style="200"/>
    <col min="515" max="515" width="18.77734375" style="200" customWidth="1"/>
    <col min="516" max="516" width="33.33203125" style="200" customWidth="1"/>
    <col min="517" max="517" width="23.21875" style="200" customWidth="1"/>
    <col min="518" max="770" width="10.88671875" style="200"/>
    <col min="771" max="771" width="18.77734375" style="200" customWidth="1"/>
    <col min="772" max="772" width="33.33203125" style="200" customWidth="1"/>
    <col min="773" max="773" width="23.21875" style="200" customWidth="1"/>
    <col min="774" max="1026" width="10.88671875" style="200"/>
    <col min="1027" max="1027" width="18.77734375" style="200" customWidth="1"/>
    <col min="1028" max="1028" width="33.33203125" style="200" customWidth="1"/>
    <col min="1029" max="1029" width="23.21875" style="200" customWidth="1"/>
    <col min="1030" max="1282" width="10.88671875" style="200"/>
    <col min="1283" max="1283" width="18.77734375" style="200" customWidth="1"/>
    <col min="1284" max="1284" width="33.33203125" style="200" customWidth="1"/>
    <col min="1285" max="1285" width="23.21875" style="200" customWidth="1"/>
    <col min="1286" max="1538" width="10.88671875" style="200"/>
    <col min="1539" max="1539" width="18.77734375" style="200" customWidth="1"/>
    <col min="1540" max="1540" width="33.33203125" style="200" customWidth="1"/>
    <col min="1541" max="1541" width="23.21875" style="200" customWidth="1"/>
    <col min="1542" max="1794" width="10.88671875" style="200"/>
    <col min="1795" max="1795" width="18.77734375" style="200" customWidth="1"/>
    <col min="1796" max="1796" width="33.33203125" style="200" customWidth="1"/>
    <col min="1797" max="1797" width="23.21875" style="200" customWidth="1"/>
    <col min="1798" max="2050" width="10.88671875" style="200"/>
    <col min="2051" max="2051" width="18.77734375" style="200" customWidth="1"/>
    <col min="2052" max="2052" width="33.33203125" style="200" customWidth="1"/>
    <col min="2053" max="2053" width="23.21875" style="200" customWidth="1"/>
    <col min="2054" max="2306" width="10.88671875" style="200"/>
    <col min="2307" max="2307" width="18.77734375" style="200" customWidth="1"/>
    <col min="2308" max="2308" width="33.33203125" style="200" customWidth="1"/>
    <col min="2309" max="2309" width="23.21875" style="200" customWidth="1"/>
    <col min="2310" max="2562" width="10.88671875" style="200"/>
    <col min="2563" max="2563" width="18.77734375" style="200" customWidth="1"/>
    <col min="2564" max="2564" width="33.33203125" style="200" customWidth="1"/>
    <col min="2565" max="2565" width="23.21875" style="200" customWidth="1"/>
    <col min="2566" max="2818" width="10.88671875" style="200"/>
    <col min="2819" max="2819" width="18.77734375" style="200" customWidth="1"/>
    <col min="2820" max="2820" width="33.33203125" style="200" customWidth="1"/>
    <col min="2821" max="2821" width="23.21875" style="200" customWidth="1"/>
    <col min="2822" max="3074" width="10.88671875" style="200"/>
    <col min="3075" max="3075" width="18.77734375" style="200" customWidth="1"/>
    <col min="3076" max="3076" width="33.33203125" style="200" customWidth="1"/>
    <col min="3077" max="3077" width="23.21875" style="200" customWidth="1"/>
    <col min="3078" max="3330" width="10.88671875" style="200"/>
    <col min="3331" max="3331" width="18.77734375" style="200" customWidth="1"/>
    <col min="3332" max="3332" width="33.33203125" style="200" customWidth="1"/>
    <col min="3333" max="3333" width="23.21875" style="200" customWidth="1"/>
    <col min="3334" max="3586" width="10.88671875" style="200"/>
    <col min="3587" max="3587" width="18.77734375" style="200" customWidth="1"/>
    <col min="3588" max="3588" width="33.33203125" style="200" customWidth="1"/>
    <col min="3589" max="3589" width="23.21875" style="200" customWidth="1"/>
    <col min="3590" max="3842" width="10.88671875" style="200"/>
    <col min="3843" max="3843" width="18.77734375" style="200" customWidth="1"/>
    <col min="3844" max="3844" width="33.33203125" style="200" customWidth="1"/>
    <col min="3845" max="3845" width="23.21875" style="200" customWidth="1"/>
    <col min="3846" max="4098" width="10.88671875" style="200"/>
    <col min="4099" max="4099" width="18.77734375" style="200" customWidth="1"/>
    <col min="4100" max="4100" width="33.33203125" style="200" customWidth="1"/>
    <col min="4101" max="4101" width="23.21875" style="200" customWidth="1"/>
    <col min="4102" max="4354" width="10.88671875" style="200"/>
    <col min="4355" max="4355" width="18.77734375" style="200" customWidth="1"/>
    <col min="4356" max="4356" width="33.33203125" style="200" customWidth="1"/>
    <col min="4357" max="4357" width="23.21875" style="200" customWidth="1"/>
    <col min="4358" max="4610" width="10.88671875" style="200"/>
    <col min="4611" max="4611" width="18.77734375" style="200" customWidth="1"/>
    <col min="4612" max="4612" width="33.33203125" style="200" customWidth="1"/>
    <col min="4613" max="4613" width="23.21875" style="200" customWidth="1"/>
    <col min="4614" max="4866" width="10.88671875" style="200"/>
    <col min="4867" max="4867" width="18.77734375" style="200" customWidth="1"/>
    <col min="4868" max="4868" width="33.33203125" style="200" customWidth="1"/>
    <col min="4869" max="4869" width="23.21875" style="200" customWidth="1"/>
    <col min="4870" max="5122" width="10.88671875" style="200"/>
    <col min="5123" max="5123" width="18.77734375" style="200" customWidth="1"/>
    <col min="5124" max="5124" width="33.33203125" style="200" customWidth="1"/>
    <col min="5125" max="5125" width="23.21875" style="200" customWidth="1"/>
    <col min="5126" max="5378" width="10.88671875" style="200"/>
    <col min="5379" max="5379" width="18.77734375" style="200" customWidth="1"/>
    <col min="5380" max="5380" width="33.33203125" style="200" customWidth="1"/>
    <col min="5381" max="5381" width="23.21875" style="200" customWidth="1"/>
    <col min="5382" max="5634" width="10.88671875" style="200"/>
    <col min="5635" max="5635" width="18.77734375" style="200" customWidth="1"/>
    <col min="5636" max="5636" width="33.33203125" style="200" customWidth="1"/>
    <col min="5637" max="5637" width="23.21875" style="200" customWidth="1"/>
    <col min="5638" max="5890" width="10.88671875" style="200"/>
    <col min="5891" max="5891" width="18.77734375" style="200" customWidth="1"/>
    <col min="5892" max="5892" width="33.33203125" style="200" customWidth="1"/>
    <col min="5893" max="5893" width="23.21875" style="200" customWidth="1"/>
    <col min="5894" max="6146" width="10.88671875" style="200"/>
    <col min="6147" max="6147" width="18.77734375" style="200" customWidth="1"/>
    <col min="6148" max="6148" width="33.33203125" style="200" customWidth="1"/>
    <col min="6149" max="6149" width="23.21875" style="200" customWidth="1"/>
    <col min="6150" max="6402" width="10.88671875" style="200"/>
    <col min="6403" max="6403" width="18.77734375" style="200" customWidth="1"/>
    <col min="6404" max="6404" width="33.33203125" style="200" customWidth="1"/>
    <col min="6405" max="6405" width="23.21875" style="200" customWidth="1"/>
    <col min="6406" max="6658" width="10.88671875" style="200"/>
    <col min="6659" max="6659" width="18.77734375" style="200" customWidth="1"/>
    <col min="6660" max="6660" width="33.33203125" style="200" customWidth="1"/>
    <col min="6661" max="6661" width="23.21875" style="200" customWidth="1"/>
    <col min="6662" max="6914" width="10.88671875" style="200"/>
    <col min="6915" max="6915" width="18.77734375" style="200" customWidth="1"/>
    <col min="6916" max="6916" width="33.33203125" style="200" customWidth="1"/>
    <col min="6917" max="6917" width="23.21875" style="200" customWidth="1"/>
    <col min="6918" max="7170" width="10.88671875" style="200"/>
    <col min="7171" max="7171" width="18.77734375" style="200" customWidth="1"/>
    <col min="7172" max="7172" width="33.33203125" style="200" customWidth="1"/>
    <col min="7173" max="7173" width="23.21875" style="200" customWidth="1"/>
    <col min="7174" max="7426" width="10.88671875" style="200"/>
    <col min="7427" max="7427" width="18.77734375" style="200" customWidth="1"/>
    <col min="7428" max="7428" width="33.33203125" style="200" customWidth="1"/>
    <col min="7429" max="7429" width="23.21875" style="200" customWidth="1"/>
    <col min="7430" max="7682" width="10.88671875" style="200"/>
    <col min="7683" max="7683" width="18.77734375" style="200" customWidth="1"/>
    <col min="7684" max="7684" width="33.33203125" style="200" customWidth="1"/>
    <col min="7685" max="7685" width="23.21875" style="200" customWidth="1"/>
    <col min="7686" max="7938" width="10.88671875" style="200"/>
    <col min="7939" max="7939" width="18.77734375" style="200" customWidth="1"/>
    <col min="7940" max="7940" width="33.33203125" style="200" customWidth="1"/>
    <col min="7941" max="7941" width="23.21875" style="200" customWidth="1"/>
    <col min="7942" max="8194" width="10.88671875" style="200"/>
    <col min="8195" max="8195" width="18.77734375" style="200" customWidth="1"/>
    <col min="8196" max="8196" width="33.33203125" style="200" customWidth="1"/>
    <col min="8197" max="8197" width="23.21875" style="200" customWidth="1"/>
    <col min="8198" max="8450" width="10.88671875" style="200"/>
    <col min="8451" max="8451" width="18.77734375" style="200" customWidth="1"/>
    <col min="8452" max="8452" width="33.33203125" style="200" customWidth="1"/>
    <col min="8453" max="8453" width="23.21875" style="200" customWidth="1"/>
    <col min="8454" max="8706" width="10.88671875" style="200"/>
    <col min="8707" max="8707" width="18.77734375" style="200" customWidth="1"/>
    <col min="8708" max="8708" width="33.33203125" style="200" customWidth="1"/>
    <col min="8709" max="8709" width="23.21875" style="200" customWidth="1"/>
    <col min="8710" max="8962" width="10.88671875" style="200"/>
    <col min="8963" max="8963" width="18.77734375" style="200" customWidth="1"/>
    <col min="8964" max="8964" width="33.33203125" style="200" customWidth="1"/>
    <col min="8965" max="8965" width="23.21875" style="200" customWidth="1"/>
    <col min="8966" max="9218" width="10.88671875" style="200"/>
    <col min="9219" max="9219" width="18.77734375" style="200" customWidth="1"/>
    <col min="9220" max="9220" width="33.33203125" style="200" customWidth="1"/>
    <col min="9221" max="9221" width="23.21875" style="200" customWidth="1"/>
    <col min="9222" max="9474" width="10.88671875" style="200"/>
    <col min="9475" max="9475" width="18.77734375" style="200" customWidth="1"/>
    <col min="9476" max="9476" width="33.33203125" style="200" customWidth="1"/>
    <col min="9477" max="9477" width="23.21875" style="200" customWidth="1"/>
    <col min="9478" max="9730" width="10.88671875" style="200"/>
    <col min="9731" max="9731" width="18.77734375" style="200" customWidth="1"/>
    <col min="9732" max="9732" width="33.33203125" style="200" customWidth="1"/>
    <col min="9733" max="9733" width="23.21875" style="200" customWidth="1"/>
    <col min="9734" max="9986" width="10.88671875" style="200"/>
    <col min="9987" max="9987" width="18.77734375" style="200" customWidth="1"/>
    <col min="9988" max="9988" width="33.33203125" style="200" customWidth="1"/>
    <col min="9989" max="9989" width="23.21875" style="200" customWidth="1"/>
    <col min="9990" max="10242" width="10.88671875" style="200"/>
    <col min="10243" max="10243" width="18.77734375" style="200" customWidth="1"/>
    <col min="10244" max="10244" width="33.33203125" style="200" customWidth="1"/>
    <col min="10245" max="10245" width="23.21875" style="200" customWidth="1"/>
    <col min="10246" max="10498" width="10.88671875" style="200"/>
    <col min="10499" max="10499" width="18.77734375" style="200" customWidth="1"/>
    <col min="10500" max="10500" width="33.33203125" style="200" customWidth="1"/>
    <col min="10501" max="10501" width="23.21875" style="200" customWidth="1"/>
    <col min="10502" max="10754" width="10.88671875" style="200"/>
    <col min="10755" max="10755" width="18.77734375" style="200" customWidth="1"/>
    <col min="10756" max="10756" width="33.33203125" style="200" customWidth="1"/>
    <col min="10757" max="10757" width="23.21875" style="200" customWidth="1"/>
    <col min="10758" max="11010" width="10.88671875" style="200"/>
    <col min="11011" max="11011" width="18.77734375" style="200" customWidth="1"/>
    <col min="11012" max="11012" width="33.33203125" style="200" customWidth="1"/>
    <col min="11013" max="11013" width="23.21875" style="200" customWidth="1"/>
    <col min="11014" max="11266" width="10.88671875" style="200"/>
    <col min="11267" max="11267" width="18.77734375" style="200" customWidth="1"/>
    <col min="11268" max="11268" width="33.33203125" style="200" customWidth="1"/>
    <col min="11269" max="11269" width="23.21875" style="200" customWidth="1"/>
    <col min="11270" max="11522" width="10.88671875" style="200"/>
    <col min="11523" max="11523" width="18.77734375" style="200" customWidth="1"/>
    <col min="11524" max="11524" width="33.33203125" style="200" customWidth="1"/>
    <col min="11525" max="11525" width="23.21875" style="200" customWidth="1"/>
    <col min="11526" max="11778" width="10.88671875" style="200"/>
    <col min="11779" max="11779" width="18.77734375" style="200" customWidth="1"/>
    <col min="11780" max="11780" width="33.33203125" style="200" customWidth="1"/>
    <col min="11781" max="11781" width="23.21875" style="200" customWidth="1"/>
    <col min="11782" max="12034" width="10.88671875" style="200"/>
    <col min="12035" max="12035" width="18.77734375" style="200" customWidth="1"/>
    <col min="12036" max="12036" width="33.33203125" style="200" customWidth="1"/>
    <col min="12037" max="12037" width="23.21875" style="200" customWidth="1"/>
    <col min="12038" max="12290" width="10.88671875" style="200"/>
    <col min="12291" max="12291" width="18.77734375" style="200" customWidth="1"/>
    <col min="12292" max="12292" width="33.33203125" style="200" customWidth="1"/>
    <col min="12293" max="12293" width="23.21875" style="200" customWidth="1"/>
    <col min="12294" max="12546" width="10.88671875" style="200"/>
    <col min="12547" max="12547" width="18.77734375" style="200" customWidth="1"/>
    <col min="12548" max="12548" width="33.33203125" style="200" customWidth="1"/>
    <col min="12549" max="12549" width="23.21875" style="200" customWidth="1"/>
    <col min="12550" max="12802" width="10.88671875" style="200"/>
    <col min="12803" max="12803" width="18.77734375" style="200" customWidth="1"/>
    <col min="12804" max="12804" width="33.33203125" style="200" customWidth="1"/>
    <col min="12805" max="12805" width="23.21875" style="200" customWidth="1"/>
    <col min="12806" max="13058" width="10.88671875" style="200"/>
    <col min="13059" max="13059" width="18.77734375" style="200" customWidth="1"/>
    <col min="13060" max="13060" width="33.33203125" style="200" customWidth="1"/>
    <col min="13061" max="13061" width="23.21875" style="200" customWidth="1"/>
    <col min="13062" max="13314" width="10.88671875" style="200"/>
    <col min="13315" max="13315" width="18.77734375" style="200" customWidth="1"/>
    <col min="13316" max="13316" width="33.33203125" style="200" customWidth="1"/>
    <col min="13317" max="13317" width="23.21875" style="200" customWidth="1"/>
    <col min="13318" max="13570" width="10.88671875" style="200"/>
    <col min="13571" max="13571" width="18.77734375" style="200" customWidth="1"/>
    <col min="13572" max="13572" width="33.33203125" style="200" customWidth="1"/>
    <col min="13573" max="13573" width="23.21875" style="200" customWidth="1"/>
    <col min="13574" max="13826" width="10.88671875" style="200"/>
    <col min="13827" max="13827" width="18.77734375" style="200" customWidth="1"/>
    <col min="13828" max="13828" width="33.33203125" style="200" customWidth="1"/>
    <col min="13829" max="13829" width="23.21875" style="200" customWidth="1"/>
    <col min="13830" max="14082" width="10.88671875" style="200"/>
    <col min="14083" max="14083" width="18.77734375" style="200" customWidth="1"/>
    <col min="14084" max="14084" width="33.33203125" style="200" customWidth="1"/>
    <col min="14085" max="14085" width="23.21875" style="200" customWidth="1"/>
    <col min="14086" max="14338" width="10.88671875" style="200"/>
    <col min="14339" max="14339" width="18.77734375" style="200" customWidth="1"/>
    <col min="14340" max="14340" width="33.33203125" style="200" customWidth="1"/>
    <col min="14341" max="14341" width="23.21875" style="200" customWidth="1"/>
    <col min="14342" max="14594" width="10.88671875" style="200"/>
    <col min="14595" max="14595" width="18.77734375" style="200" customWidth="1"/>
    <col min="14596" max="14596" width="33.33203125" style="200" customWidth="1"/>
    <col min="14597" max="14597" width="23.21875" style="200" customWidth="1"/>
    <col min="14598" max="14850" width="10.88671875" style="200"/>
    <col min="14851" max="14851" width="18.77734375" style="200" customWidth="1"/>
    <col min="14852" max="14852" width="33.33203125" style="200" customWidth="1"/>
    <col min="14853" max="14853" width="23.21875" style="200" customWidth="1"/>
    <col min="14854" max="15106" width="10.88671875" style="200"/>
    <col min="15107" max="15107" width="18.77734375" style="200" customWidth="1"/>
    <col min="15108" max="15108" width="33.33203125" style="200" customWidth="1"/>
    <col min="15109" max="15109" width="23.21875" style="200" customWidth="1"/>
    <col min="15110" max="15362" width="10.88671875" style="200"/>
    <col min="15363" max="15363" width="18.77734375" style="200" customWidth="1"/>
    <col min="15364" max="15364" width="33.33203125" style="200" customWidth="1"/>
    <col min="15365" max="15365" width="23.21875" style="200" customWidth="1"/>
    <col min="15366" max="15618" width="10.88671875" style="200"/>
    <col min="15619" max="15619" width="18.77734375" style="200" customWidth="1"/>
    <col min="15620" max="15620" width="33.33203125" style="200" customWidth="1"/>
    <col min="15621" max="15621" width="23.21875" style="200" customWidth="1"/>
    <col min="15622" max="15874" width="10.88671875" style="200"/>
    <col min="15875" max="15875" width="18.77734375" style="200" customWidth="1"/>
    <col min="15876" max="15876" width="33.33203125" style="200" customWidth="1"/>
    <col min="15877" max="15877" width="23.21875" style="200" customWidth="1"/>
    <col min="15878" max="16130" width="10.88671875" style="200"/>
    <col min="16131" max="16131" width="18.77734375" style="200" customWidth="1"/>
    <col min="16132" max="16132" width="33.33203125" style="200" customWidth="1"/>
    <col min="16133" max="16133" width="23.21875" style="200" customWidth="1"/>
    <col min="16134" max="16384" width="10.88671875" style="200"/>
  </cols>
  <sheetData>
    <row r="1" spans="1:14" ht="14.4" x14ac:dyDescent="0.3">
      <c r="A1" s="119" t="s">
        <v>883</v>
      </c>
    </row>
    <row r="3" spans="1:14" ht="25.2" x14ac:dyDescent="0.45">
      <c r="B3" s="748" t="s">
        <v>496</v>
      </c>
      <c r="C3" s="748"/>
      <c r="D3" s="748"/>
      <c r="E3" s="748"/>
      <c r="F3" s="748"/>
      <c r="G3" s="748"/>
      <c r="H3" s="711"/>
    </row>
    <row r="5" spans="1:14" ht="31.8" thickBot="1" x14ac:dyDescent="0.35">
      <c r="B5" s="201" t="s">
        <v>26</v>
      </c>
      <c r="C5" s="202" t="s">
        <v>516</v>
      </c>
      <c r="D5" s="159"/>
      <c r="E5" s="159">
        <v>2024</v>
      </c>
      <c r="F5" s="159">
        <v>2025</v>
      </c>
      <c r="G5" s="159" t="s">
        <v>497</v>
      </c>
      <c r="H5" s="162" t="s">
        <v>498</v>
      </c>
    </row>
    <row r="6" spans="1:14" ht="46.8" x14ac:dyDescent="0.3">
      <c r="B6" s="203" t="s">
        <v>499</v>
      </c>
      <c r="C6" s="211" t="s">
        <v>500</v>
      </c>
      <c r="D6" s="212" t="s">
        <v>501</v>
      </c>
      <c r="E6" s="213">
        <v>1.57</v>
      </c>
      <c r="F6" s="213">
        <v>1.54</v>
      </c>
      <c r="G6" s="214">
        <v>1.41</v>
      </c>
      <c r="H6" s="215">
        <f>F6/E6-1</f>
        <v>-1.9108280254777066E-2</v>
      </c>
      <c r="N6" s="169"/>
    </row>
    <row r="7" spans="1:14" ht="31.2" x14ac:dyDescent="0.3">
      <c r="B7" s="204" t="s">
        <v>2</v>
      </c>
      <c r="C7" s="216" t="s">
        <v>502</v>
      </c>
      <c r="D7" s="216" t="s">
        <v>503</v>
      </c>
      <c r="E7" s="217" t="s">
        <v>504</v>
      </c>
      <c r="F7" s="217" t="s">
        <v>534</v>
      </c>
      <c r="G7" s="218" t="s">
        <v>93</v>
      </c>
      <c r="H7" s="219">
        <f>42461/69744-1</f>
        <v>-0.39118777242486813</v>
      </c>
      <c r="N7" s="205"/>
    </row>
    <row r="8" spans="1:14" ht="31.2" x14ac:dyDescent="0.3">
      <c r="B8" s="204" t="s">
        <v>3</v>
      </c>
      <c r="C8" s="216" t="s">
        <v>505</v>
      </c>
      <c r="D8" s="220" t="s">
        <v>506</v>
      </c>
      <c r="E8" s="221">
        <v>0.14199999999999999</v>
      </c>
      <c r="F8" s="221">
        <v>0.159</v>
      </c>
      <c r="G8" s="222">
        <v>0.2</v>
      </c>
      <c r="H8" s="219">
        <f t="shared" ref="H8:H9" si="0">F8/E8-1</f>
        <v>0.11971830985915499</v>
      </c>
    </row>
    <row r="9" spans="1:14" ht="43.8" customHeight="1" x14ac:dyDescent="0.3">
      <c r="B9" s="204" t="s">
        <v>507</v>
      </c>
      <c r="C9" s="220" t="s">
        <v>508</v>
      </c>
      <c r="D9" s="223" t="s">
        <v>509</v>
      </c>
      <c r="E9" s="224">
        <v>0.55000000000000004</v>
      </c>
      <c r="F9" s="221">
        <v>0.64900000000000002</v>
      </c>
      <c r="G9" s="222">
        <v>0.8</v>
      </c>
      <c r="H9" s="219">
        <f t="shared" si="0"/>
        <v>0.17999999999999994</v>
      </c>
    </row>
    <row r="10" spans="1:14" ht="46.8" x14ac:dyDescent="0.3">
      <c r="B10" s="206" t="s">
        <v>6</v>
      </c>
      <c r="C10" s="225" t="s">
        <v>512</v>
      </c>
      <c r="D10" s="226" t="s">
        <v>510</v>
      </c>
      <c r="E10" s="227">
        <v>1.92</v>
      </c>
      <c r="F10" s="227">
        <f>4.09</f>
        <v>4.09</v>
      </c>
      <c r="G10" s="228" t="s">
        <v>513</v>
      </c>
      <c r="H10" s="229">
        <f>F10/E10-1</f>
        <v>1.1302083333333335</v>
      </c>
    </row>
    <row r="11" spans="1:14" ht="43.8" customHeight="1" x14ac:dyDescent="0.3">
      <c r="C11" s="225"/>
      <c r="D11" s="226" t="s">
        <v>23</v>
      </c>
      <c r="E11" s="227">
        <v>0.38</v>
      </c>
      <c r="F11" s="227">
        <v>0.82</v>
      </c>
      <c r="G11" s="228" t="s">
        <v>514</v>
      </c>
      <c r="H11" s="229">
        <f>F11/E11-1</f>
        <v>1.1578947368421053</v>
      </c>
    </row>
    <row r="13" spans="1:14" x14ac:dyDescent="0.3">
      <c r="C13" s="207" t="s">
        <v>515</v>
      </c>
    </row>
    <row r="14" spans="1:14" x14ac:dyDescent="0.3">
      <c r="E14" s="208"/>
    </row>
    <row r="15" spans="1:14" x14ac:dyDescent="0.3">
      <c r="C15" s="210" t="s">
        <v>517</v>
      </c>
      <c r="E15" s="208"/>
    </row>
    <row r="17" spans="7:7" x14ac:dyDescent="0.3">
      <c r="G17" s="209"/>
    </row>
  </sheetData>
  <mergeCells count="1">
    <mergeCell ref="B3:G3"/>
  </mergeCells>
  <hyperlinks>
    <hyperlink ref="A1" location="'Table of Contents'!A1" display="Back to Table of Contents" xr:uid="{507AB345-2C1A-4AA6-A1B6-E78604D04DA1}"/>
  </hyperlinks>
  <pageMargins left="0.7" right="0.7" top="0.78740157499999996" bottom="0.78740157499999996" header="0.3" footer="0.3"/>
  <headerFooter>
    <oddHeader>&amp;L&amp;"Aptos"&amp;10&amp;K000000 Sensitivity: Restricted&amp;1#_x000D_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46BB7-25F3-4132-B78C-03B2C924FA86}">
  <dimension ref="A1:I45"/>
  <sheetViews>
    <sheetView showGridLines="0" workbookViewId="0">
      <selection activeCell="B4" sqref="B4:E4"/>
    </sheetView>
  </sheetViews>
  <sheetFormatPr baseColWidth="10" defaultRowHeight="14.4" x14ac:dyDescent="0.3"/>
  <cols>
    <col min="1" max="1" width="3.44140625" customWidth="1"/>
    <col min="2" max="2" width="53.5546875" customWidth="1"/>
    <col min="3" max="9" width="18.21875" customWidth="1"/>
  </cols>
  <sheetData>
    <row r="1" spans="1:5" x14ac:dyDescent="0.3">
      <c r="A1" s="119" t="s">
        <v>883</v>
      </c>
    </row>
    <row r="4" spans="1:5" ht="25.2" x14ac:dyDescent="0.3">
      <c r="B4" s="749" t="s">
        <v>929</v>
      </c>
      <c r="C4" s="749"/>
      <c r="D4" s="749"/>
      <c r="E4" s="749"/>
    </row>
    <row r="5" spans="1:5" ht="25.2" customHeight="1" x14ac:dyDescent="0.3"/>
    <row r="6" spans="1:5" x14ac:dyDescent="0.3">
      <c r="B6" s="202" t="s">
        <v>583</v>
      </c>
      <c r="C6" s="282" t="s">
        <v>584</v>
      </c>
      <c r="D6" s="282" t="s">
        <v>585</v>
      </c>
      <c r="E6" s="282" t="s">
        <v>586</v>
      </c>
    </row>
    <row r="7" spans="1:5" ht="15" thickBot="1" x14ac:dyDescent="0.35">
      <c r="B7" s="280" t="s">
        <v>587</v>
      </c>
      <c r="C7" s="280"/>
      <c r="D7" s="280"/>
      <c r="E7" s="280"/>
    </row>
    <row r="8" spans="1:5" ht="16.2" x14ac:dyDescent="0.3">
      <c r="B8" s="271" t="s">
        <v>600</v>
      </c>
      <c r="C8" s="284">
        <v>1717</v>
      </c>
      <c r="D8" s="284">
        <v>452</v>
      </c>
      <c r="E8" s="285"/>
    </row>
    <row r="9" spans="1:5" x14ac:dyDescent="0.3">
      <c r="B9" s="271" t="s">
        <v>588</v>
      </c>
      <c r="C9" s="286">
        <v>6.5000000000000002E-2</v>
      </c>
      <c r="D9" s="287">
        <v>0.02</v>
      </c>
      <c r="E9" s="288" t="s">
        <v>38</v>
      </c>
    </row>
    <row r="10" spans="1:5" x14ac:dyDescent="0.3">
      <c r="B10" s="271" t="s">
        <v>589</v>
      </c>
      <c r="C10" s="287"/>
      <c r="D10" s="287"/>
      <c r="E10" s="288"/>
    </row>
    <row r="11" spans="1:5" x14ac:dyDescent="0.3">
      <c r="B11" s="271" t="s">
        <v>590</v>
      </c>
      <c r="C11" s="286">
        <v>2.5000000000000001E-2</v>
      </c>
      <c r="D11" s="287">
        <v>0.35</v>
      </c>
      <c r="E11" s="288" t="s">
        <v>38</v>
      </c>
    </row>
    <row r="12" spans="1:5" x14ac:dyDescent="0.3">
      <c r="B12" s="271" t="s">
        <v>591</v>
      </c>
      <c r="C12" s="287"/>
      <c r="D12" s="287"/>
      <c r="E12" s="288"/>
    </row>
    <row r="13" spans="1:5" x14ac:dyDescent="0.3">
      <c r="B13" s="271" t="s">
        <v>592</v>
      </c>
      <c r="C13" s="287">
        <v>0.106</v>
      </c>
      <c r="D13" s="287">
        <v>0.01</v>
      </c>
      <c r="E13" s="288" t="s">
        <v>42</v>
      </c>
    </row>
    <row r="14" spans="1:5" x14ac:dyDescent="0.3">
      <c r="B14" s="271" t="s">
        <v>593</v>
      </c>
      <c r="C14" s="287"/>
      <c r="D14" s="287"/>
      <c r="E14" s="287"/>
    </row>
    <row r="15" spans="1:5" x14ac:dyDescent="0.3">
      <c r="B15" s="271" t="s">
        <v>594</v>
      </c>
      <c r="C15" s="287"/>
      <c r="D15" s="287"/>
      <c r="E15" s="287"/>
    </row>
    <row r="16" spans="1:5" x14ac:dyDescent="0.3">
      <c r="B16" s="271" t="s">
        <v>114</v>
      </c>
      <c r="C16" s="287"/>
      <c r="D16" s="287"/>
      <c r="E16" s="287"/>
    </row>
    <row r="17" spans="2:9" ht="15" thickBot="1" x14ac:dyDescent="0.35">
      <c r="B17" s="280" t="s">
        <v>595</v>
      </c>
      <c r="C17" s="278"/>
      <c r="D17" s="278"/>
      <c r="E17" s="278"/>
    </row>
    <row r="18" spans="2:9" x14ac:dyDescent="0.3">
      <c r="B18" s="271" t="s">
        <v>596</v>
      </c>
      <c r="C18" s="289">
        <v>0</v>
      </c>
      <c r="D18" s="287">
        <v>0.21</v>
      </c>
      <c r="E18" s="288" t="s">
        <v>597</v>
      </c>
    </row>
    <row r="19" spans="2:9" x14ac:dyDescent="0.3">
      <c r="B19" s="271" t="s">
        <v>598</v>
      </c>
      <c r="C19" s="287"/>
      <c r="D19" s="287"/>
      <c r="E19" s="288"/>
    </row>
    <row r="20" spans="2:9" x14ac:dyDescent="0.3">
      <c r="B20" s="281" t="s">
        <v>599</v>
      </c>
      <c r="C20" s="287"/>
      <c r="D20" s="287"/>
      <c r="E20" s="288"/>
    </row>
    <row r="21" spans="2:9" x14ac:dyDescent="0.3">
      <c r="B21" s="281" t="s">
        <v>3</v>
      </c>
      <c r="C21" s="286">
        <v>0.80400000000000005</v>
      </c>
      <c r="D21" s="287">
        <v>0.41</v>
      </c>
      <c r="E21" s="288" t="s">
        <v>597</v>
      </c>
    </row>
    <row r="25" spans="2:9" ht="16.2" x14ac:dyDescent="0.3">
      <c r="B25" s="202" t="s">
        <v>601</v>
      </c>
      <c r="C25" s="282">
        <v>2018</v>
      </c>
      <c r="D25" s="282">
        <v>2024</v>
      </c>
      <c r="E25" s="282">
        <v>2025</v>
      </c>
      <c r="F25" s="282" t="s">
        <v>497</v>
      </c>
      <c r="G25" s="282" t="s">
        <v>584</v>
      </c>
      <c r="H25" s="282" t="s">
        <v>602</v>
      </c>
      <c r="I25" s="282" t="s">
        <v>603</v>
      </c>
    </row>
    <row r="26" spans="2:9" x14ac:dyDescent="0.3">
      <c r="B26" s="291" t="s">
        <v>38</v>
      </c>
      <c r="C26" s="257">
        <v>2528000</v>
      </c>
      <c r="D26" s="257">
        <v>2250000</v>
      </c>
      <c r="E26" s="261">
        <v>2176000</v>
      </c>
      <c r="F26" s="257">
        <v>1305000</v>
      </c>
      <c r="G26" s="292">
        <f>E26/C26-1</f>
        <v>-0.13924050632911389</v>
      </c>
      <c r="H26" s="292">
        <f>E26/D26-1</f>
        <v>-3.2888888888888856E-2</v>
      </c>
      <c r="I26" s="292">
        <f>F26/E26-1</f>
        <v>-0.40027573529411764</v>
      </c>
    </row>
    <row r="27" spans="2:9" x14ac:dyDescent="0.3">
      <c r="B27" s="291" t="s">
        <v>42</v>
      </c>
      <c r="C27" s="257">
        <v>239000</v>
      </c>
      <c r="D27" s="257">
        <v>99000</v>
      </c>
      <c r="E27" s="261">
        <v>83000</v>
      </c>
      <c r="F27" s="257">
        <v>57000</v>
      </c>
      <c r="G27" s="292">
        <f t="shared" ref="G27:G29" si="0">E27/C27-1</f>
        <v>-0.65271966527196645</v>
      </c>
      <c r="H27" s="292">
        <f t="shared" ref="H27:I29" si="1">E27/D27-1</f>
        <v>-0.16161616161616166</v>
      </c>
      <c r="I27" s="292">
        <f t="shared" si="1"/>
        <v>-0.31325301204819278</v>
      </c>
    </row>
    <row r="28" spans="2:9" x14ac:dyDescent="0.3">
      <c r="B28" s="291" t="s">
        <v>604</v>
      </c>
      <c r="C28" s="257">
        <v>3350000</v>
      </c>
      <c r="D28" s="257">
        <v>2058000</v>
      </c>
      <c r="E28" s="261">
        <v>2141000</v>
      </c>
      <c r="F28" s="257">
        <v>1194000</v>
      </c>
      <c r="G28" s="292">
        <f t="shared" si="0"/>
        <v>-0.36089552238805966</v>
      </c>
      <c r="H28" s="292">
        <f t="shared" si="1"/>
        <v>4.0330417881438319E-2</v>
      </c>
      <c r="I28" s="292">
        <f t="shared" si="1"/>
        <v>-0.44231667445119105</v>
      </c>
    </row>
    <row r="29" spans="2:9" x14ac:dyDescent="0.3">
      <c r="B29" s="291" t="s">
        <v>44</v>
      </c>
      <c r="C29" s="257">
        <v>6117000</v>
      </c>
      <c r="D29" s="257">
        <v>4407000</v>
      </c>
      <c r="E29" s="261">
        <v>4400000</v>
      </c>
      <c r="F29" s="257">
        <v>2556000</v>
      </c>
      <c r="G29" s="292">
        <f t="shared" si="0"/>
        <v>-0.28069315023704433</v>
      </c>
      <c r="H29" s="292">
        <f t="shared" si="1"/>
        <v>-1.5883821193555248E-3</v>
      </c>
      <c r="I29" s="292">
        <f t="shared" si="1"/>
        <v>-0.41909090909090907</v>
      </c>
    </row>
    <row r="30" spans="2:9" x14ac:dyDescent="0.3">
      <c r="B30" s="293"/>
      <c r="C30" s="291"/>
      <c r="D30" s="291"/>
      <c r="E30" s="291"/>
      <c r="F30" s="291"/>
      <c r="G30" s="291"/>
      <c r="H30" s="291"/>
      <c r="I30" s="291"/>
    </row>
    <row r="31" spans="2:9" x14ac:dyDescent="0.3">
      <c r="B31" s="291"/>
      <c r="C31" s="294">
        <f>SUM(C26:C28)-C29</f>
        <v>0</v>
      </c>
      <c r="D31" s="294">
        <f>SUM(D26:D28)-D29</f>
        <v>0</v>
      </c>
      <c r="E31" s="294"/>
      <c r="F31" s="294">
        <f>SUM(F26:F28)-F29</f>
        <v>0</v>
      </c>
      <c r="G31" s="294"/>
      <c r="H31" s="294"/>
      <c r="I31" s="291"/>
    </row>
    <row r="32" spans="2:9" x14ac:dyDescent="0.3">
      <c r="B32" s="291"/>
      <c r="C32" s="291"/>
      <c r="D32" s="291"/>
      <c r="E32" s="291"/>
      <c r="F32" s="291"/>
      <c r="G32" s="291"/>
      <c r="H32" s="291"/>
      <c r="I32" s="291"/>
    </row>
    <row r="33" spans="2:9" ht="16.2" x14ac:dyDescent="0.3">
      <c r="B33" s="202" t="s">
        <v>605</v>
      </c>
      <c r="C33" s="282">
        <v>2018</v>
      </c>
      <c r="D33" s="282">
        <v>2024</v>
      </c>
      <c r="E33" s="282">
        <v>2025</v>
      </c>
      <c r="F33" s="282" t="s">
        <v>497</v>
      </c>
      <c r="G33" s="282" t="s">
        <v>584</v>
      </c>
      <c r="H33" s="282" t="s">
        <v>602</v>
      </c>
      <c r="I33" s="282" t="s">
        <v>603</v>
      </c>
    </row>
    <row r="34" spans="2:9" x14ac:dyDescent="0.3">
      <c r="B34" s="291" t="s">
        <v>38</v>
      </c>
      <c r="C34" s="257">
        <v>2528000</v>
      </c>
      <c r="D34" s="257">
        <v>2250000</v>
      </c>
      <c r="E34" s="261">
        <v>2176000</v>
      </c>
      <c r="F34" s="265">
        <v>2050000</v>
      </c>
      <c r="G34" s="292">
        <f>E34/C34-1</f>
        <v>-0.13924050632911389</v>
      </c>
      <c r="H34" s="292">
        <f>E34/D34-1</f>
        <v>-3.2888888888888856E-2</v>
      </c>
      <c r="I34" s="292">
        <f>F34/E34-1</f>
        <v>-5.7904411764705843E-2</v>
      </c>
    </row>
    <row r="35" spans="2:9" x14ac:dyDescent="0.3">
      <c r="B35" s="291" t="s">
        <v>42</v>
      </c>
      <c r="C35" s="257">
        <v>239000</v>
      </c>
      <c r="D35" s="257">
        <v>99000</v>
      </c>
      <c r="E35" s="261">
        <v>83000</v>
      </c>
      <c r="F35" s="265">
        <v>94000</v>
      </c>
      <c r="G35" s="292">
        <f t="shared" ref="G35:G37" si="2">E35/C35-1</f>
        <v>-0.65271966527196645</v>
      </c>
      <c r="H35" s="292">
        <f t="shared" ref="H35:I37" si="3">E35/D35-1</f>
        <v>-0.16161616161616166</v>
      </c>
      <c r="I35" s="292">
        <f t="shared" si="3"/>
        <v>0.1325301204819278</v>
      </c>
    </row>
    <row r="36" spans="2:9" x14ac:dyDescent="0.3">
      <c r="B36" s="291" t="s">
        <v>604</v>
      </c>
      <c r="C36" s="257">
        <v>3350000</v>
      </c>
      <c r="D36" s="257">
        <v>2058000</v>
      </c>
      <c r="E36" s="261">
        <v>2141000</v>
      </c>
      <c r="F36" s="265">
        <v>1811000</v>
      </c>
      <c r="G36" s="292">
        <f t="shared" si="2"/>
        <v>-0.36089552238805966</v>
      </c>
      <c r="H36" s="292">
        <f t="shared" si="3"/>
        <v>4.0330417881438319E-2</v>
      </c>
      <c r="I36" s="292">
        <f t="shared" si="3"/>
        <v>-0.15413358243811304</v>
      </c>
    </row>
    <row r="37" spans="2:9" x14ac:dyDescent="0.3">
      <c r="B37" s="291" t="s">
        <v>44</v>
      </c>
      <c r="C37" s="257">
        <v>6117000</v>
      </c>
      <c r="D37" s="257">
        <v>4407000</v>
      </c>
      <c r="E37" s="261">
        <v>4400000</v>
      </c>
      <c r="F37" s="257">
        <v>3955000</v>
      </c>
      <c r="G37" s="292">
        <f t="shared" si="2"/>
        <v>-0.28069315023704433</v>
      </c>
      <c r="H37" s="292">
        <f t="shared" si="3"/>
        <v>-1.5883821193555248E-3</v>
      </c>
      <c r="I37" s="292">
        <f t="shared" si="3"/>
        <v>-0.10113636363636369</v>
      </c>
    </row>
    <row r="38" spans="2:9" x14ac:dyDescent="0.3">
      <c r="B38" s="291"/>
      <c r="C38" s="291"/>
      <c r="D38" s="291"/>
      <c r="E38" s="291"/>
      <c r="F38" s="295"/>
      <c r="G38" s="295"/>
      <c r="H38" s="295"/>
      <c r="I38" s="291"/>
    </row>
    <row r="39" spans="2:9" x14ac:dyDescent="0.3">
      <c r="B39" s="291"/>
      <c r="C39" s="294">
        <f>SUM(C34:C36)-C37</f>
        <v>0</v>
      </c>
      <c r="D39" s="294">
        <f>SUM(D34:D36)-D37</f>
        <v>0</v>
      </c>
      <c r="E39" s="294"/>
      <c r="F39" s="294">
        <f>SUM(F34:F36)-F37</f>
        <v>0</v>
      </c>
      <c r="G39" s="294"/>
      <c r="H39" s="294"/>
      <c r="I39" s="291"/>
    </row>
    <row r="40" spans="2:9" x14ac:dyDescent="0.3">
      <c r="B40" s="291"/>
      <c r="C40" s="291"/>
      <c r="D40" s="291"/>
      <c r="E40" s="291"/>
      <c r="F40" s="295"/>
      <c r="G40" s="295"/>
      <c r="H40" s="295"/>
      <c r="I40" s="291"/>
    </row>
    <row r="41" spans="2:9" ht="16.2" x14ac:dyDescent="0.3">
      <c r="B41" s="202" t="s">
        <v>606</v>
      </c>
      <c r="C41" s="282">
        <v>2018</v>
      </c>
      <c r="D41" s="282">
        <v>2024</v>
      </c>
      <c r="E41" s="282">
        <v>2025</v>
      </c>
      <c r="F41" s="282" t="s">
        <v>497</v>
      </c>
      <c r="G41" s="282" t="s">
        <v>584</v>
      </c>
      <c r="H41" s="282" t="s">
        <v>602</v>
      </c>
      <c r="I41" s="282" t="s">
        <v>603</v>
      </c>
    </row>
    <row r="42" spans="2:9" x14ac:dyDescent="0.3">
      <c r="B42" s="291" t="s">
        <v>38</v>
      </c>
      <c r="C42" s="296">
        <v>0.75</v>
      </c>
      <c r="D42" s="296">
        <v>0.8</v>
      </c>
      <c r="E42" s="297">
        <v>0.76</v>
      </c>
      <c r="F42" s="144">
        <v>0.73</v>
      </c>
      <c r="G42" s="292">
        <f>E42/C42-1</f>
        <v>1.3333333333333419E-2</v>
      </c>
      <c r="H42" s="292">
        <f>E42/D42-1</f>
        <v>-5.0000000000000044E-2</v>
      </c>
      <c r="I42" s="292">
        <f>F42/E42-1</f>
        <v>-3.9473684210526327E-2</v>
      </c>
    </row>
    <row r="43" spans="2:9" x14ac:dyDescent="0.3">
      <c r="B43" s="291" t="s">
        <v>42</v>
      </c>
      <c r="C43" s="296">
        <v>7.0000000000000007E-2</v>
      </c>
      <c r="D43" s="296">
        <v>0.04</v>
      </c>
      <c r="E43" s="297">
        <v>0.03</v>
      </c>
      <c r="F43" s="144">
        <v>0.03</v>
      </c>
      <c r="G43" s="292">
        <f t="shared" ref="G43:G45" si="4">E43/C43-1</f>
        <v>-0.57142857142857151</v>
      </c>
      <c r="H43" s="292">
        <f t="shared" ref="H43:I45" si="5">E43/D43-1</f>
        <v>-0.25</v>
      </c>
      <c r="I43" s="292">
        <f t="shared" si="5"/>
        <v>0</v>
      </c>
    </row>
    <row r="44" spans="2:9" x14ac:dyDescent="0.3">
      <c r="B44" s="291" t="s">
        <v>604</v>
      </c>
      <c r="C44" s="296">
        <v>1</v>
      </c>
      <c r="D44" s="296">
        <v>0.73</v>
      </c>
      <c r="E44" s="297">
        <v>0.75</v>
      </c>
      <c r="F44" s="144">
        <v>0.64</v>
      </c>
      <c r="G44" s="292">
        <f t="shared" si="4"/>
        <v>-0.25</v>
      </c>
      <c r="H44" s="292">
        <f t="shared" si="5"/>
        <v>2.7397260273972712E-2</v>
      </c>
      <c r="I44" s="292">
        <f t="shared" si="5"/>
        <v>-0.14666666666666661</v>
      </c>
    </row>
    <row r="45" spans="2:9" x14ac:dyDescent="0.3">
      <c r="B45" s="291" t="s">
        <v>44</v>
      </c>
      <c r="C45" s="296">
        <v>1.82</v>
      </c>
      <c r="D45" s="296">
        <v>1.57</v>
      </c>
      <c r="E45" s="297">
        <v>1.54</v>
      </c>
      <c r="F45" s="298">
        <v>1.41</v>
      </c>
      <c r="G45" s="292">
        <f t="shared" si="4"/>
        <v>-0.15384615384615385</v>
      </c>
      <c r="H45" s="292">
        <f t="shared" si="5"/>
        <v>-1.9108280254777066E-2</v>
      </c>
      <c r="I45" s="292">
        <f t="shared" si="5"/>
        <v>-8.4415584415584499E-2</v>
      </c>
    </row>
  </sheetData>
  <mergeCells count="1">
    <mergeCell ref="B4:E4"/>
  </mergeCells>
  <hyperlinks>
    <hyperlink ref="A1" location="'Table of Contents'!A1" display="Back to Table of Contents" xr:uid="{A7B678CE-79EB-4FC9-9EC8-50888A6D6C8D}"/>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C15FA-B5B5-423C-BD66-352FC6CAA717}">
  <dimension ref="A1:I21"/>
  <sheetViews>
    <sheetView showGridLines="0" workbookViewId="0">
      <selection activeCell="B2" sqref="B2:I2"/>
    </sheetView>
  </sheetViews>
  <sheetFormatPr baseColWidth="10" defaultRowHeight="13.8" x14ac:dyDescent="0.25"/>
  <cols>
    <col min="1" max="1" width="3.6640625" style="291" customWidth="1"/>
    <col min="2" max="2" width="32.6640625" style="291" customWidth="1"/>
    <col min="3" max="9" width="18.33203125" style="291" customWidth="1"/>
    <col min="10" max="16384" width="11.5546875" style="291"/>
  </cols>
  <sheetData>
    <row r="1" spans="1:9" ht="14.4" x14ac:dyDescent="0.3">
      <c r="A1" s="119" t="s">
        <v>883</v>
      </c>
    </row>
    <row r="2" spans="1:9" ht="14.4" x14ac:dyDescent="0.3">
      <c r="B2" s="750" t="s">
        <v>930</v>
      </c>
      <c r="C2" s="750"/>
      <c r="D2" s="750"/>
      <c r="E2" s="750"/>
      <c r="F2" s="750"/>
      <c r="G2" s="750"/>
      <c r="H2" s="750"/>
      <c r="I2" s="750"/>
    </row>
    <row r="4" spans="1:9" x14ac:dyDescent="0.25">
      <c r="B4" s="305" t="s">
        <v>303</v>
      </c>
      <c r="C4" s="306"/>
      <c r="D4" s="305"/>
      <c r="E4" s="305"/>
      <c r="F4" s="305"/>
      <c r="G4" s="305"/>
      <c r="H4" s="305"/>
      <c r="I4" s="305"/>
    </row>
    <row r="5" spans="1:9" x14ac:dyDescent="0.25">
      <c r="B5" s="419"/>
      <c r="C5" s="308"/>
    </row>
    <row r="6" spans="1:9" x14ac:dyDescent="0.25">
      <c r="C6" s="756" t="s">
        <v>258</v>
      </c>
      <c r="D6" s="756"/>
      <c r="E6" s="756"/>
      <c r="F6" s="757"/>
      <c r="G6" s="758" t="s">
        <v>259</v>
      </c>
      <c r="H6" s="759"/>
      <c r="I6" s="759"/>
    </row>
    <row r="7" spans="1:9" ht="55.2" x14ac:dyDescent="0.25">
      <c r="B7" s="254"/>
      <c r="C7" s="418" t="s">
        <v>635</v>
      </c>
      <c r="D7" s="418" t="s">
        <v>636</v>
      </c>
      <c r="E7" s="410">
        <v>2025</v>
      </c>
      <c r="F7" s="410" t="s">
        <v>304</v>
      </c>
      <c r="G7" s="411" t="s">
        <v>637</v>
      </c>
      <c r="H7" s="412" t="s">
        <v>639</v>
      </c>
      <c r="I7" s="412" t="s">
        <v>638</v>
      </c>
    </row>
    <row r="8" spans="1:9" x14ac:dyDescent="0.25">
      <c r="B8" s="268" t="s">
        <v>305</v>
      </c>
      <c r="C8" s="334">
        <v>6418000</v>
      </c>
      <c r="D8" s="413">
        <v>4992000</v>
      </c>
      <c r="E8" s="413">
        <v>4964000</v>
      </c>
      <c r="F8" s="292">
        <v>-5.608974358974339E-3</v>
      </c>
      <c r="G8" s="257">
        <v>5185000</v>
      </c>
      <c r="H8" s="292">
        <f>E8/C8-1</f>
        <v>-0.22655032720473667</v>
      </c>
      <c r="I8" s="292">
        <f>E8/D8-1</f>
        <v>-5.608974358974339E-3</v>
      </c>
    </row>
    <row r="9" spans="1:9" x14ac:dyDescent="0.25">
      <c r="B9" s="271" t="s">
        <v>261</v>
      </c>
      <c r="C9" s="334">
        <v>3352530</v>
      </c>
      <c r="D9" s="261">
        <v>2813000</v>
      </c>
      <c r="E9" s="261">
        <v>2851000</v>
      </c>
      <c r="F9" s="292">
        <v>1.3508709562744414E-2</v>
      </c>
      <c r="G9" s="257">
        <v>2851000</v>
      </c>
      <c r="H9" s="292">
        <f>E9/C9-1</f>
        <v>-0.14959746818074704</v>
      </c>
      <c r="I9" s="292">
        <f>E9/D9-1</f>
        <v>1.3508709562744414E-2</v>
      </c>
    </row>
    <row r="10" spans="1:9" ht="14.4" thickBot="1" x14ac:dyDescent="0.3">
      <c r="B10" s="274" t="s">
        <v>306</v>
      </c>
      <c r="C10" s="414">
        <v>1.914375113720086</v>
      </c>
      <c r="D10" s="414">
        <v>1.7746178457163171</v>
      </c>
      <c r="E10" s="414">
        <v>1.7411434584356367</v>
      </c>
      <c r="F10" s="415">
        <v>-1.8862870877514815E-2</v>
      </c>
      <c r="G10" s="414">
        <v>1.8186563580340815</v>
      </c>
      <c r="H10" s="416">
        <v>-9.0489922295228231E-2</v>
      </c>
      <c r="I10" s="416">
        <v>-9.0489922295228231E-2</v>
      </c>
    </row>
    <row r="11" spans="1:9" x14ac:dyDescent="0.25">
      <c r="C11" s="308"/>
      <c r="F11" s="259"/>
    </row>
    <row r="12" spans="1:9" x14ac:dyDescent="0.25">
      <c r="C12" s="308"/>
    </row>
    <row r="13" spans="1:9" x14ac:dyDescent="0.25">
      <c r="B13" s="305" t="s">
        <v>640</v>
      </c>
      <c r="C13" s="306"/>
      <c r="D13" s="305"/>
      <c r="E13" s="305"/>
      <c r="F13" s="305"/>
      <c r="G13" s="305"/>
    </row>
    <row r="14" spans="1:9" x14ac:dyDescent="0.25">
      <c r="C14" s="308"/>
    </row>
    <row r="15" spans="1:9" ht="27.6" customHeight="1" x14ac:dyDescent="0.25">
      <c r="B15" s="420"/>
      <c r="C15" s="754" t="s">
        <v>258</v>
      </c>
      <c r="D15" s="754"/>
      <c r="E15" s="755"/>
      <c r="F15" s="752" t="s">
        <v>259</v>
      </c>
      <c r="G15" s="753"/>
    </row>
    <row r="16" spans="1:9" ht="27.6" x14ac:dyDescent="0.25">
      <c r="B16" s="254"/>
      <c r="C16" s="418" t="s">
        <v>636</v>
      </c>
      <c r="D16" s="417">
        <v>2025</v>
      </c>
      <c r="E16" s="417" t="s">
        <v>304</v>
      </c>
      <c r="F16" s="752" t="s">
        <v>641</v>
      </c>
      <c r="G16" s="753"/>
    </row>
    <row r="17" spans="2:7" x14ac:dyDescent="0.25">
      <c r="B17" s="291" t="s">
        <v>305</v>
      </c>
      <c r="C17" s="413">
        <v>4992000</v>
      </c>
      <c r="D17" s="413">
        <v>4964000</v>
      </c>
      <c r="E17" s="292">
        <f>D17/C17-1</f>
        <v>-5.608974358974339E-3</v>
      </c>
      <c r="F17" s="257"/>
      <c r="G17" s="389"/>
    </row>
    <row r="18" spans="2:7" x14ac:dyDescent="0.25">
      <c r="B18" s="291" t="s">
        <v>633</v>
      </c>
      <c r="C18" s="413">
        <v>70000</v>
      </c>
      <c r="D18" s="413">
        <v>42000</v>
      </c>
      <c r="E18" s="292">
        <f>D18/C18-1</f>
        <v>-0.4</v>
      </c>
      <c r="F18" s="751">
        <v>299000</v>
      </c>
      <c r="G18" s="751"/>
    </row>
    <row r="19" spans="2:7" x14ac:dyDescent="0.25">
      <c r="B19" s="291" t="s">
        <v>634</v>
      </c>
      <c r="C19" s="292">
        <f>C18/C17</f>
        <v>1.4022435897435898E-2</v>
      </c>
      <c r="D19" s="292">
        <f>D18/D17</f>
        <v>8.4609186140209517E-3</v>
      </c>
    </row>
    <row r="20" spans="2:7" x14ac:dyDescent="0.25">
      <c r="G20" s="421"/>
    </row>
    <row r="21" spans="2:7" x14ac:dyDescent="0.25">
      <c r="F21" s="421"/>
    </row>
  </sheetData>
  <mergeCells count="7">
    <mergeCell ref="B2:I2"/>
    <mergeCell ref="F18:G18"/>
    <mergeCell ref="F16:G16"/>
    <mergeCell ref="C15:E15"/>
    <mergeCell ref="C6:F6"/>
    <mergeCell ref="G6:I6"/>
    <mergeCell ref="F15:G15"/>
  </mergeCells>
  <phoneticPr fontId="33" type="noConversion"/>
  <hyperlinks>
    <hyperlink ref="A1" location="'Table of Contents'!A1" display="Back to Table of Contents" xr:uid="{719C8A77-70EF-4CB8-A0C0-FAF7553AE694}"/>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F98B0-6CEA-4930-B0F9-AE7DA609230F}">
  <dimension ref="A1:L110"/>
  <sheetViews>
    <sheetView showGridLines="0" zoomScale="85" zoomScaleNormal="85" workbookViewId="0"/>
  </sheetViews>
  <sheetFormatPr baseColWidth="10" defaultColWidth="11.5546875" defaultRowHeight="13.8" x14ac:dyDescent="0.25"/>
  <cols>
    <col min="1" max="1" width="4.6640625" style="256" customWidth="1"/>
    <col min="2" max="2" width="74.21875" style="256" customWidth="1"/>
    <col min="3" max="3" width="23" style="256" customWidth="1"/>
    <col min="4" max="4" width="18.44140625" style="256" bestFit="1" customWidth="1"/>
    <col min="5" max="5" width="18.77734375" style="256" customWidth="1"/>
    <col min="6" max="6" width="14.6640625" style="337" customWidth="1"/>
    <col min="7" max="7" width="13.88671875" style="256" customWidth="1"/>
    <col min="8" max="8" width="15.44140625" style="256" bestFit="1" customWidth="1"/>
    <col min="9" max="9" width="13" style="256" customWidth="1"/>
    <col min="10" max="10" width="11.77734375" style="256" customWidth="1"/>
    <col min="11" max="11" width="15" style="256" customWidth="1"/>
    <col min="12" max="12" width="11.44140625" style="256" customWidth="1"/>
    <col min="13" max="13" width="65.77734375" style="256" bestFit="1" customWidth="1"/>
    <col min="14" max="17" width="14.6640625" style="256" customWidth="1"/>
    <col min="18" max="16384" width="11.5546875" style="256"/>
  </cols>
  <sheetData>
    <row r="1" spans="1:12" ht="14.4" x14ac:dyDescent="0.3">
      <c r="A1" s="119" t="s">
        <v>883</v>
      </c>
    </row>
    <row r="3" spans="1:12" ht="25.2" x14ac:dyDescent="0.45">
      <c r="B3" s="761" t="s">
        <v>931</v>
      </c>
      <c r="C3" s="761"/>
      <c r="D3" s="761"/>
      <c r="E3" s="761"/>
      <c r="F3" s="761"/>
      <c r="G3" s="761"/>
      <c r="H3" s="761"/>
      <c r="I3" s="761"/>
      <c r="J3" s="761"/>
    </row>
    <row r="5" spans="1:12" ht="22.8" x14ac:dyDescent="0.4">
      <c r="B5" s="760" t="s">
        <v>626</v>
      </c>
      <c r="C5" s="760"/>
      <c r="D5" s="760"/>
      <c r="E5" s="760"/>
      <c r="F5" s="760"/>
      <c r="G5" s="760"/>
      <c r="H5" s="760"/>
      <c r="I5" s="760"/>
      <c r="J5" s="760"/>
    </row>
    <row r="6" spans="1:12" x14ac:dyDescent="0.25">
      <c r="I6" s="337"/>
      <c r="L6" s="338"/>
    </row>
    <row r="7" spans="1:12" ht="14.4" customHeight="1" x14ac:dyDescent="0.25">
      <c r="B7" s="339"/>
      <c r="C7" s="765" t="s">
        <v>258</v>
      </c>
      <c r="D7" s="765"/>
      <c r="E7" s="765"/>
      <c r="F7" s="765"/>
      <c r="G7" s="340" t="s">
        <v>535</v>
      </c>
      <c r="H7" s="765" t="s">
        <v>259</v>
      </c>
      <c r="I7" s="765"/>
      <c r="J7" s="765"/>
      <c r="L7" s="341"/>
    </row>
    <row r="8" spans="1:12" s="718" customFormat="1" ht="69" x14ac:dyDescent="0.3">
      <c r="B8" s="717"/>
      <c r="C8" s="342" t="s">
        <v>536</v>
      </c>
      <c r="D8" s="342" t="s">
        <v>537</v>
      </c>
      <c r="E8" s="342" t="s">
        <v>538</v>
      </c>
      <c r="F8" s="342" t="s">
        <v>873</v>
      </c>
      <c r="G8" s="394"/>
      <c r="H8" s="394"/>
      <c r="I8" s="394"/>
      <c r="J8" s="394"/>
      <c r="L8" s="719"/>
    </row>
    <row r="9" spans="1:12" ht="104.4" customHeight="1" thickBot="1" x14ac:dyDescent="0.4">
      <c r="B9" s="344" t="s">
        <v>617</v>
      </c>
      <c r="C9" s="345">
        <v>2018</v>
      </c>
      <c r="D9" s="345">
        <v>2024</v>
      </c>
      <c r="E9" s="345">
        <v>2025</v>
      </c>
      <c r="F9" s="345" t="s">
        <v>539</v>
      </c>
      <c r="G9" s="346" t="s">
        <v>540</v>
      </c>
      <c r="H9" s="345" t="s">
        <v>541</v>
      </c>
      <c r="I9" s="345" t="s">
        <v>428</v>
      </c>
      <c r="J9" s="345" t="s">
        <v>542</v>
      </c>
      <c r="L9" s="347"/>
    </row>
    <row r="10" spans="1:12" x14ac:dyDescent="0.25">
      <c r="B10" s="348" t="s">
        <v>260</v>
      </c>
      <c r="C10" s="349"/>
      <c r="D10" s="349"/>
      <c r="E10" s="349"/>
      <c r="F10" s="349"/>
      <c r="H10" s="349"/>
      <c r="I10" s="349"/>
      <c r="J10" s="349"/>
      <c r="L10" s="341"/>
    </row>
    <row r="11" spans="1:12" x14ac:dyDescent="0.25">
      <c r="B11" s="350" t="s">
        <v>543</v>
      </c>
      <c r="C11" s="351">
        <v>2528000</v>
      </c>
      <c r="D11" s="351">
        <v>2259000</v>
      </c>
      <c r="E11" s="351">
        <v>2186000</v>
      </c>
      <c r="F11" s="352">
        <f>+E11/D11-1</f>
        <v>-3.2315183709606066E-2</v>
      </c>
      <c r="L11" s="341"/>
    </row>
    <row r="12" spans="1:12" ht="14.55" customHeight="1" x14ac:dyDescent="0.25">
      <c r="B12" s="350" t="s">
        <v>618</v>
      </c>
      <c r="C12" s="351">
        <v>2519000</v>
      </c>
      <c r="D12" s="351">
        <v>2250000</v>
      </c>
      <c r="E12" s="351">
        <v>2176000</v>
      </c>
      <c r="F12" s="353">
        <f>+E12/D12-1</f>
        <v>-3.2888888888888856E-2</v>
      </c>
      <c r="G12" s="353">
        <f>+E11/C11-1</f>
        <v>-0.13528481012658233</v>
      </c>
      <c r="H12" s="351">
        <v>2278800</v>
      </c>
      <c r="I12" s="351">
        <v>2050000</v>
      </c>
      <c r="J12" s="354">
        <f>(1-(I12/D12))/6</f>
        <v>1.4814814814814817E-2</v>
      </c>
      <c r="L12" s="341"/>
    </row>
    <row r="13" spans="1:12" ht="14.55" customHeight="1" x14ac:dyDescent="0.25">
      <c r="B13" s="350" t="s">
        <v>544</v>
      </c>
      <c r="C13" s="351">
        <v>9000</v>
      </c>
      <c r="D13" s="351">
        <v>9000</v>
      </c>
      <c r="E13" s="351">
        <v>10000</v>
      </c>
      <c r="F13" s="353">
        <f>+E13/D13-1</f>
        <v>0.11111111111111116</v>
      </c>
      <c r="G13" s="353"/>
      <c r="H13" s="351"/>
      <c r="I13" s="351"/>
      <c r="J13" s="354"/>
      <c r="L13" s="341"/>
    </row>
    <row r="14" spans="1:12" ht="24.6" customHeight="1" thickBot="1" x14ac:dyDescent="0.3">
      <c r="B14" s="355" t="s">
        <v>545</v>
      </c>
      <c r="C14" s="356">
        <v>0.24199042393274697</v>
      </c>
      <c r="D14" s="356">
        <v>0.26577777777777778</v>
      </c>
      <c r="E14" s="356">
        <v>0.24</v>
      </c>
      <c r="F14" s="354"/>
      <c r="G14" s="357"/>
      <c r="H14" s="354"/>
      <c r="I14" s="354"/>
      <c r="J14" s="351"/>
      <c r="L14" s="341"/>
    </row>
    <row r="15" spans="1:12" x14ac:dyDescent="0.25">
      <c r="B15" s="348" t="s">
        <v>262</v>
      </c>
      <c r="C15" s="349"/>
      <c r="D15" s="349"/>
      <c r="E15" s="349"/>
      <c r="F15" s="349"/>
      <c r="G15" s="358"/>
      <c r="H15" s="349"/>
      <c r="I15" s="349"/>
      <c r="J15" s="349"/>
      <c r="L15" s="341"/>
    </row>
    <row r="16" spans="1:12" x14ac:dyDescent="0.25">
      <c r="B16" s="350" t="s">
        <v>546</v>
      </c>
      <c r="C16" s="351">
        <v>293000</v>
      </c>
      <c r="D16" s="351">
        <v>230000</v>
      </c>
      <c r="E16" s="351">
        <v>232000</v>
      </c>
      <c r="F16" s="353">
        <f>+E16/D16-1</f>
        <v>8.6956521739129933E-3</v>
      </c>
      <c r="G16" s="353">
        <f>+E16/C16-1</f>
        <v>-0.20819112627986347</v>
      </c>
      <c r="H16" s="353"/>
      <c r="I16" s="351"/>
      <c r="J16" s="351"/>
      <c r="L16" s="341"/>
    </row>
    <row r="17" spans="1:12" x14ac:dyDescent="0.25">
      <c r="B17" s="350" t="s">
        <v>547</v>
      </c>
      <c r="C17" s="351">
        <v>239000</v>
      </c>
      <c r="D17" s="351">
        <v>99000</v>
      </c>
      <c r="E17" s="351">
        <f>ROUND(82907.6801616413,-3)</f>
        <v>83000</v>
      </c>
      <c r="F17" s="353">
        <f>+E17/D17-1</f>
        <v>-0.16161616161616166</v>
      </c>
      <c r="G17" s="353">
        <f>+E17/C17-1</f>
        <v>-0.65271966527196645</v>
      </c>
      <c r="H17" s="351">
        <v>128900</v>
      </c>
      <c r="I17" s="351">
        <v>94000</v>
      </c>
      <c r="J17" s="354">
        <f>(1-(I17/D17))/6</f>
        <v>8.4175084175084156E-3</v>
      </c>
      <c r="L17" s="341"/>
    </row>
    <row r="18" spans="1:12" ht="14.4" thickBot="1" x14ac:dyDescent="0.3">
      <c r="B18" s="355"/>
      <c r="C18" s="351"/>
      <c r="D18" s="351"/>
      <c r="E18" s="351"/>
      <c r="F18" s="354"/>
      <c r="G18" s="357"/>
      <c r="H18" s="351"/>
      <c r="I18" s="359"/>
      <c r="J18" s="354"/>
      <c r="L18" s="341"/>
    </row>
    <row r="19" spans="1:12" x14ac:dyDescent="0.25">
      <c r="B19" s="348" t="s">
        <v>263</v>
      </c>
      <c r="C19" s="349"/>
      <c r="D19" s="349"/>
      <c r="E19" s="349"/>
      <c r="F19" s="349"/>
      <c r="G19" s="337"/>
      <c r="H19" s="349"/>
      <c r="I19" s="349"/>
      <c r="J19" s="360"/>
      <c r="L19" s="341"/>
    </row>
    <row r="20" spans="1:12" x14ac:dyDescent="0.25">
      <c r="B20" s="350" t="s">
        <v>548</v>
      </c>
      <c r="C20" s="351">
        <f>SUM(C25+C26+C23+C24+C21)</f>
        <v>4972000</v>
      </c>
      <c r="D20" s="351">
        <f>SUM(D25+D26+D23+D24+D21)</f>
        <v>3880000</v>
      </c>
      <c r="E20" s="351">
        <f>SUM(E25+E26+E23+E24+E21)</f>
        <v>3993000</v>
      </c>
      <c r="F20" s="361">
        <f>+E20/D20-1</f>
        <v>2.9123711340206082E-2</v>
      </c>
      <c r="G20" s="361">
        <f t="shared" ref="G20:G22" si="0">+E20/C20-1</f>
        <v>-0.19690265486725667</v>
      </c>
      <c r="H20" s="351"/>
      <c r="I20" s="351"/>
      <c r="J20" s="354"/>
    </row>
    <row r="21" spans="1:12" x14ac:dyDescent="0.25">
      <c r="B21" s="362" t="s">
        <v>549</v>
      </c>
      <c r="C21" s="351">
        <f>3510000</f>
        <v>3510000</v>
      </c>
      <c r="D21" s="351">
        <f>D22+557000</f>
        <v>2615000</v>
      </c>
      <c r="E21" s="363">
        <v>2715000</v>
      </c>
      <c r="F21" s="361">
        <f>+E21/D21-1</f>
        <v>3.8240917782026873E-2</v>
      </c>
      <c r="G21" s="361">
        <f t="shared" si="0"/>
        <v>-0.22649572649572647</v>
      </c>
      <c r="H21" s="337"/>
      <c r="I21" s="337"/>
      <c r="J21" s="337"/>
    </row>
    <row r="22" spans="1:12" x14ac:dyDescent="0.25">
      <c r="B22" s="364" t="s">
        <v>550</v>
      </c>
      <c r="C22" s="351">
        <v>3350000</v>
      </c>
      <c r="D22" s="351">
        <v>2058000</v>
      </c>
      <c r="E22" s="363">
        <v>2142000</v>
      </c>
      <c r="F22" s="361">
        <f>+E22/D22-1</f>
        <v>4.081632653061229E-2</v>
      </c>
      <c r="G22" s="361">
        <f t="shared" si="0"/>
        <v>-0.3605970149253731</v>
      </c>
      <c r="H22" s="351">
        <v>2340900</v>
      </c>
      <c r="I22" s="351">
        <v>1811000</v>
      </c>
      <c r="J22" s="354">
        <f>(1-(I22/D22))/6</f>
        <v>2.0003239390994503E-2</v>
      </c>
    </row>
    <row r="23" spans="1:12" x14ac:dyDescent="0.25">
      <c r="B23" s="362" t="s">
        <v>552</v>
      </c>
      <c r="C23" s="351">
        <v>559000</v>
      </c>
      <c r="D23" s="351">
        <f>ROUND(468137.077749862,-3)</f>
        <v>468000</v>
      </c>
      <c r="E23" s="363">
        <v>468000</v>
      </c>
      <c r="F23" s="361">
        <f>+E23/D23-1</f>
        <v>0</v>
      </c>
      <c r="G23" s="361">
        <f t="shared" ref="G23:G24" si="1">+E23/C23-1</f>
        <v>-0.16279069767441856</v>
      </c>
      <c r="H23" s="351"/>
      <c r="I23" s="351"/>
      <c r="J23" s="354"/>
    </row>
    <row r="24" spans="1:12" x14ac:dyDescent="0.25">
      <c r="B24" s="362" t="s">
        <v>553</v>
      </c>
      <c r="C24" s="351">
        <v>490000</v>
      </c>
      <c r="D24" s="351">
        <f>ROUND(412172.583780064,-3)</f>
        <v>412000</v>
      </c>
      <c r="E24" s="363">
        <v>404000</v>
      </c>
      <c r="F24" s="361">
        <f>+E24/D24-1</f>
        <v>-1.9417475728155331E-2</v>
      </c>
      <c r="G24" s="361">
        <f t="shared" si="1"/>
        <v>-0.17551020408163265</v>
      </c>
      <c r="H24" s="351"/>
      <c r="I24" s="351"/>
      <c r="J24" s="354"/>
    </row>
    <row r="25" spans="1:12" x14ac:dyDescent="0.25">
      <c r="B25" s="362" t="s">
        <v>554</v>
      </c>
      <c r="C25" s="351">
        <v>190000</v>
      </c>
      <c r="D25" s="351">
        <v>159000</v>
      </c>
      <c r="E25" s="363">
        <v>162000</v>
      </c>
      <c r="F25" s="361">
        <f t="shared" ref="F25:F26" si="2">+E25/D25-1</f>
        <v>1.8867924528301883E-2</v>
      </c>
      <c r="G25" s="361">
        <f t="shared" ref="G25:G26" si="3">+E25/C25-1</f>
        <v>-0.14736842105263159</v>
      </c>
      <c r="H25" s="351"/>
      <c r="I25" s="351"/>
      <c r="J25" s="354"/>
    </row>
    <row r="26" spans="1:12" ht="14.4" thickBot="1" x14ac:dyDescent="0.3">
      <c r="A26" s="337"/>
      <c r="B26" s="362" t="s">
        <v>555</v>
      </c>
      <c r="C26" s="351">
        <v>223000</v>
      </c>
      <c r="D26" s="365">
        <v>226000</v>
      </c>
      <c r="E26" s="365">
        <v>244000</v>
      </c>
      <c r="F26" s="361">
        <f t="shared" si="2"/>
        <v>7.9646017699114946E-2</v>
      </c>
      <c r="G26" s="366">
        <f t="shared" si="3"/>
        <v>9.4170403587443996E-2</v>
      </c>
      <c r="H26" s="351"/>
      <c r="I26" s="351"/>
      <c r="J26" s="354"/>
    </row>
    <row r="27" spans="1:12" x14ac:dyDescent="0.25">
      <c r="B27" s="348" t="s">
        <v>264</v>
      </c>
      <c r="C27" s="349"/>
      <c r="D27" s="363"/>
      <c r="E27" s="363"/>
      <c r="F27" s="360"/>
      <c r="G27" s="337"/>
      <c r="H27" s="349"/>
      <c r="I27" s="349"/>
      <c r="J27" s="360"/>
    </row>
    <row r="28" spans="1:12" x14ac:dyDescent="0.25">
      <c r="B28" s="350" t="s">
        <v>871</v>
      </c>
      <c r="C28" s="351">
        <f>C11+C16+C20</f>
        <v>7793000</v>
      </c>
      <c r="D28" s="351">
        <f>D11+D16+D20</f>
        <v>6369000</v>
      </c>
      <c r="E28" s="351">
        <f>E11+E16+E20</f>
        <v>6411000</v>
      </c>
      <c r="F28" s="354"/>
      <c r="G28" s="337"/>
      <c r="H28" s="351"/>
      <c r="I28" s="351"/>
      <c r="J28" s="354"/>
    </row>
    <row r="29" spans="1:12" x14ac:dyDescent="0.25">
      <c r="B29" s="350" t="s">
        <v>872</v>
      </c>
      <c r="C29" s="351">
        <f>C11+C17+C20</f>
        <v>7739000</v>
      </c>
      <c r="D29" s="351">
        <f>D11+D17+D20</f>
        <v>6238000</v>
      </c>
      <c r="E29" s="351">
        <f>E11+E17+E20</f>
        <v>6262000</v>
      </c>
      <c r="F29" s="354"/>
      <c r="G29" s="259">
        <f>+E17/E29</f>
        <v>1.3254551261577771E-2</v>
      </c>
      <c r="H29" s="351">
        <f>ROUND(H12+H17+H22,-3)</f>
        <v>4749000</v>
      </c>
      <c r="I29" s="351">
        <f>ROUND(I12+I17+I22,-3)</f>
        <v>3955000</v>
      </c>
      <c r="J29" s="354">
        <f>(1-(I29/D29))/6</f>
        <v>6.0997114459762747E-2</v>
      </c>
    </row>
    <row r="30" spans="1:12" x14ac:dyDescent="0.25">
      <c r="C30" s="351"/>
      <c r="D30" s="351"/>
      <c r="E30" s="351"/>
    </row>
    <row r="31" spans="1:12" x14ac:dyDescent="0.25">
      <c r="A31" s="337"/>
      <c r="B31" s="350"/>
      <c r="C31" s="350"/>
      <c r="D31" s="350"/>
      <c r="E31" s="350"/>
      <c r="F31" s="350"/>
      <c r="G31" s="350"/>
      <c r="H31" s="350"/>
      <c r="I31" s="350"/>
      <c r="J31" s="337"/>
      <c r="K31" s="337"/>
      <c r="L31" s="337"/>
    </row>
    <row r="32" spans="1:12" x14ac:dyDescent="0.25">
      <c r="B32" s="367"/>
      <c r="C32" s="337"/>
      <c r="D32" s="337"/>
      <c r="E32" s="337"/>
      <c r="G32" s="337"/>
      <c r="H32" s="337"/>
      <c r="I32" s="337"/>
      <c r="J32" s="337"/>
    </row>
    <row r="33" spans="2:10" x14ac:dyDescent="0.25">
      <c r="B33" s="336" t="s">
        <v>265</v>
      </c>
      <c r="C33" s="336"/>
      <c r="D33" s="336"/>
      <c r="E33" s="336"/>
      <c r="F33" s="368"/>
      <c r="G33" s="337"/>
      <c r="H33" s="338"/>
      <c r="I33" s="369"/>
    </row>
    <row r="34" spans="2:10" x14ac:dyDescent="0.25">
      <c r="B34" s="370" t="s">
        <v>266</v>
      </c>
      <c r="C34" s="256" t="s">
        <v>267</v>
      </c>
    </row>
    <row r="35" spans="2:10" x14ac:dyDescent="0.25">
      <c r="B35" s="263" t="s">
        <v>38</v>
      </c>
      <c r="C35" s="263">
        <v>2025</v>
      </c>
      <c r="D35" s="263">
        <v>2024</v>
      </c>
      <c r="E35" s="371" t="s">
        <v>556</v>
      </c>
      <c r="F35" s="372"/>
    </row>
    <row r="36" spans="2:10" ht="16.2" x14ac:dyDescent="0.35">
      <c r="B36" s="256" t="s">
        <v>619</v>
      </c>
      <c r="C36" s="373">
        <v>1103000</v>
      </c>
      <c r="D36" s="374">
        <v>1117000</v>
      </c>
      <c r="E36" s="375">
        <f>C36/D36-1</f>
        <v>-1.25335720680394E-2</v>
      </c>
      <c r="F36" s="260"/>
      <c r="H36" s="376"/>
    </row>
    <row r="37" spans="2:10" ht="16.2" x14ac:dyDescent="0.35">
      <c r="B37" s="256" t="s">
        <v>620</v>
      </c>
      <c r="C37" s="373">
        <v>1073000</v>
      </c>
      <c r="D37" s="374">
        <v>1133000</v>
      </c>
      <c r="E37" s="375">
        <f>C37/D37-1</f>
        <v>-5.2956751985878237E-2</v>
      </c>
      <c r="F37" s="260"/>
    </row>
    <row r="39" spans="2:10" x14ac:dyDescent="0.25">
      <c r="B39" s="336" t="s">
        <v>268</v>
      </c>
      <c r="C39" s="336"/>
      <c r="D39" s="336"/>
      <c r="E39" s="336"/>
      <c r="F39" s="336"/>
      <c r="G39" s="336"/>
      <c r="H39" s="336"/>
      <c r="I39" s="336"/>
      <c r="J39" s="336"/>
    </row>
    <row r="40" spans="2:10" x14ac:dyDescent="0.25">
      <c r="B40" s="377" t="s">
        <v>269</v>
      </c>
      <c r="C40" s="256" t="s">
        <v>267</v>
      </c>
      <c r="E40" s="378"/>
      <c r="F40" s="379"/>
    </row>
    <row r="41" spans="2:10" x14ac:dyDescent="0.25">
      <c r="B41" s="380"/>
      <c r="E41" s="378"/>
      <c r="F41" s="379"/>
    </row>
    <row r="42" spans="2:10" x14ac:dyDescent="0.25">
      <c r="B42" s="263" t="s">
        <v>270</v>
      </c>
      <c r="C42" s="263">
        <v>2025</v>
      </c>
      <c r="D42" s="381" t="s">
        <v>557</v>
      </c>
      <c r="E42" s="381">
        <v>2024</v>
      </c>
      <c r="F42" s="382" t="s">
        <v>558</v>
      </c>
      <c r="G42" s="381">
        <v>2018</v>
      </c>
      <c r="H42" s="381" t="s">
        <v>559</v>
      </c>
      <c r="I42" s="263">
        <v>2023</v>
      </c>
      <c r="J42" s="381" t="s">
        <v>560</v>
      </c>
    </row>
    <row r="43" spans="2:10" ht="16.2" x14ac:dyDescent="0.35">
      <c r="B43" s="256" t="s">
        <v>621</v>
      </c>
      <c r="C43" s="373">
        <v>540000</v>
      </c>
      <c r="D43" s="375">
        <f>C43/SUM(C43:C44)</f>
        <v>0.24702653247941445</v>
      </c>
      <c r="E43" s="383">
        <v>598000</v>
      </c>
      <c r="F43" s="375">
        <f>E43/SUM(E43:E44)</f>
        <v>0.26577777777777778</v>
      </c>
      <c r="G43" s="383">
        <v>613900</v>
      </c>
      <c r="H43" s="375">
        <f>G43/SUM(G43:G44)</f>
        <v>0.24200733236094138</v>
      </c>
      <c r="I43" s="383">
        <v>610599.8191540566</v>
      </c>
      <c r="J43" s="375">
        <f>I43/SUM(I43:I44)</f>
        <v>0.27942516460139305</v>
      </c>
    </row>
    <row r="44" spans="2:10" ht="16.2" x14ac:dyDescent="0.35">
      <c r="B44" s="256" t="s">
        <v>622</v>
      </c>
      <c r="C44" s="257">
        <v>1646000</v>
      </c>
      <c r="D44" s="375">
        <f>C44/SUM(C43:C44)</f>
        <v>0.75297346752058558</v>
      </c>
      <c r="E44" s="383">
        <v>1652000</v>
      </c>
      <c r="F44" s="375">
        <f>E44/SUM(E43:E44)</f>
        <v>0.73422222222222222</v>
      </c>
      <c r="G44" s="383">
        <v>1922800</v>
      </c>
      <c r="H44" s="375">
        <f>G44/SUM(G43:G44)</f>
        <v>0.75799266763905859</v>
      </c>
      <c r="I44" s="383">
        <v>1574600</v>
      </c>
      <c r="J44" s="375">
        <f>I44/SUM(I43:I44)</f>
        <v>0.72057483539860689</v>
      </c>
    </row>
    <row r="45" spans="2:10" x14ac:dyDescent="0.25">
      <c r="C45" s="373"/>
    </row>
    <row r="47" spans="2:10" x14ac:dyDescent="0.25">
      <c r="B47" s="336" t="s">
        <v>271</v>
      </c>
      <c r="C47" s="336"/>
      <c r="D47" s="336"/>
      <c r="E47" s="336"/>
      <c r="F47" s="338"/>
      <c r="G47" s="338"/>
      <c r="H47" s="338"/>
    </row>
    <row r="48" spans="2:10" ht="16.2" x14ac:dyDescent="0.35">
      <c r="B48" s="377" t="s">
        <v>623</v>
      </c>
      <c r="C48" s="263">
        <v>2025</v>
      </c>
      <c r="D48" s="384">
        <v>2024</v>
      </c>
      <c r="E48" s="371" t="s">
        <v>556</v>
      </c>
      <c r="F48" s="382"/>
    </row>
    <row r="49" spans="2:8" x14ac:dyDescent="0.25">
      <c r="B49" s="256" t="s">
        <v>561</v>
      </c>
      <c r="C49" s="257">
        <v>25000</v>
      </c>
      <c r="D49" s="374">
        <v>28000</v>
      </c>
      <c r="E49" s="375">
        <f>C49/D49-1</f>
        <v>-0.1071428571428571</v>
      </c>
      <c r="F49" s="260"/>
    </row>
    <row r="50" spans="2:8" x14ac:dyDescent="0.25">
      <c r="B50" s="256" t="s">
        <v>562</v>
      </c>
      <c r="C50" s="257">
        <v>3000</v>
      </c>
      <c r="D50" s="374">
        <v>5000</v>
      </c>
      <c r="E50" s="375">
        <f>C50/D50-1</f>
        <v>-0.4</v>
      </c>
      <c r="F50" s="260"/>
    </row>
    <row r="51" spans="2:8" x14ac:dyDescent="0.25">
      <c r="B51" s="256" t="s">
        <v>563</v>
      </c>
      <c r="C51" s="261">
        <v>39000</v>
      </c>
      <c r="D51" s="261">
        <v>42000</v>
      </c>
      <c r="E51" s="375">
        <f>C51/D51-1</f>
        <v>-7.1428571428571397E-2</v>
      </c>
    </row>
    <row r="52" spans="2:8" x14ac:dyDescent="0.25">
      <c r="C52" s="337"/>
      <c r="D52" s="337"/>
    </row>
    <row r="54" spans="2:8" x14ac:dyDescent="0.25">
      <c r="B54" s="336" t="s">
        <v>272</v>
      </c>
      <c r="C54" s="336"/>
      <c r="D54" s="336"/>
      <c r="E54" s="336"/>
      <c r="F54" s="336"/>
      <c r="G54" s="336"/>
      <c r="H54" s="336"/>
    </row>
    <row r="55" spans="2:8" x14ac:dyDescent="0.25">
      <c r="B55" s="370" t="s">
        <v>273</v>
      </c>
    </row>
    <row r="56" spans="2:8" x14ac:dyDescent="0.25">
      <c r="B56" s="763" t="s">
        <v>272</v>
      </c>
      <c r="C56" s="766">
        <v>2025</v>
      </c>
      <c r="D56" s="766"/>
      <c r="E56" s="767">
        <v>2024</v>
      </c>
      <c r="F56" s="767"/>
      <c r="G56" s="397">
        <v>2023</v>
      </c>
      <c r="H56" s="397"/>
    </row>
    <row r="57" spans="2:8" x14ac:dyDescent="0.25">
      <c r="B57" s="764"/>
      <c r="C57" s="398" t="s">
        <v>274</v>
      </c>
      <c r="D57" s="398" t="s">
        <v>556</v>
      </c>
      <c r="E57" s="398" t="s">
        <v>274</v>
      </c>
      <c r="F57" s="399" t="s">
        <v>556</v>
      </c>
      <c r="G57" s="398" t="s">
        <v>274</v>
      </c>
      <c r="H57" s="398" t="s">
        <v>275</v>
      </c>
    </row>
    <row r="58" spans="2:8" x14ac:dyDescent="0.25">
      <c r="B58" s="256" t="s">
        <v>564</v>
      </c>
      <c r="C58" s="383">
        <v>185000</v>
      </c>
      <c r="D58" s="292">
        <v>0.31678082191780821</v>
      </c>
      <c r="E58" s="383">
        <v>202000</v>
      </c>
      <c r="F58" s="385">
        <v>0.34237288135593219</v>
      </c>
      <c r="G58" s="386" t="s">
        <v>253</v>
      </c>
      <c r="H58" s="386" t="s">
        <v>253</v>
      </c>
    </row>
    <row r="59" spans="2:8" ht="27.6" x14ac:dyDescent="0.25">
      <c r="B59" s="264" t="s">
        <v>276</v>
      </c>
      <c r="C59" s="383">
        <v>144000</v>
      </c>
      <c r="D59" s="292">
        <v>0.24657534246575341</v>
      </c>
      <c r="E59" s="383">
        <v>151000</v>
      </c>
      <c r="F59" s="385">
        <v>0.25593220338983053</v>
      </c>
      <c r="G59" s="386" t="s">
        <v>253</v>
      </c>
      <c r="H59" s="386" t="s">
        <v>253</v>
      </c>
    </row>
    <row r="60" spans="2:8" x14ac:dyDescent="0.25">
      <c r="B60" s="256" t="s">
        <v>277</v>
      </c>
      <c r="C60" s="383">
        <v>255000</v>
      </c>
      <c r="D60" s="292">
        <v>0.43664383561643838</v>
      </c>
      <c r="E60" s="383">
        <v>237000</v>
      </c>
      <c r="F60" s="385">
        <v>0.40169491525423728</v>
      </c>
      <c r="G60" s="386" t="s">
        <v>253</v>
      </c>
      <c r="H60" s="386" t="s">
        <v>253</v>
      </c>
    </row>
    <row r="61" spans="2:8" ht="14.4" thickBot="1" x14ac:dyDescent="0.3">
      <c r="B61" s="713" t="s">
        <v>278</v>
      </c>
      <c r="C61" s="714">
        <v>0</v>
      </c>
      <c r="D61" s="415">
        <v>0</v>
      </c>
      <c r="E61" s="714">
        <v>0</v>
      </c>
      <c r="F61" s="715">
        <v>0</v>
      </c>
      <c r="G61" s="716" t="s">
        <v>253</v>
      </c>
      <c r="H61" s="716" t="s">
        <v>253</v>
      </c>
    </row>
    <row r="62" spans="2:8" x14ac:dyDescent="0.25">
      <c r="B62" s="263" t="s">
        <v>44</v>
      </c>
      <c r="C62" s="383">
        <v>584000</v>
      </c>
      <c r="D62" s="292">
        <v>1</v>
      </c>
      <c r="E62" s="383">
        <v>590000</v>
      </c>
      <c r="F62" s="385">
        <v>1</v>
      </c>
      <c r="G62" s="386" t="s">
        <v>253</v>
      </c>
      <c r="H62" s="386" t="s">
        <v>253</v>
      </c>
    </row>
    <row r="64" spans="2:8" ht="27.6" x14ac:dyDescent="0.25">
      <c r="B64" s="264" t="s">
        <v>565</v>
      </c>
      <c r="C64" s="292">
        <v>0.68</v>
      </c>
      <c r="E64" s="387">
        <v>0.65762711864406787</v>
      </c>
    </row>
    <row r="66" spans="2:9" x14ac:dyDescent="0.25">
      <c r="B66" s="336" t="s">
        <v>279</v>
      </c>
      <c r="C66" s="336"/>
      <c r="D66" s="336"/>
      <c r="E66" s="336"/>
      <c r="F66" s="336"/>
      <c r="G66" s="336"/>
      <c r="H66" s="336"/>
      <c r="I66" s="336"/>
    </row>
    <row r="67" spans="2:9" x14ac:dyDescent="0.25">
      <c r="B67" s="370" t="s">
        <v>280</v>
      </c>
    </row>
    <row r="68" spans="2:9" x14ac:dyDescent="0.25">
      <c r="B68" s="343"/>
      <c r="C68" s="768">
        <v>2025</v>
      </c>
      <c r="D68" s="768"/>
      <c r="E68" s="768"/>
      <c r="F68" s="768">
        <v>2024</v>
      </c>
      <c r="G68" s="768"/>
      <c r="H68" s="768"/>
      <c r="I68" s="343"/>
    </row>
    <row r="69" spans="2:9" ht="69" x14ac:dyDescent="0.25">
      <c r="B69" s="394" t="s">
        <v>627</v>
      </c>
      <c r="C69" s="395" t="s">
        <v>624</v>
      </c>
      <c r="D69" s="395" t="s">
        <v>281</v>
      </c>
      <c r="E69" s="395" t="s">
        <v>429</v>
      </c>
      <c r="F69" s="396" t="s">
        <v>624</v>
      </c>
      <c r="G69" s="395" t="s">
        <v>281</v>
      </c>
      <c r="H69" s="395" t="s">
        <v>429</v>
      </c>
      <c r="I69" s="395" t="s">
        <v>556</v>
      </c>
    </row>
    <row r="70" spans="2:9" x14ac:dyDescent="0.25">
      <c r="B70" s="392" t="s">
        <v>282</v>
      </c>
      <c r="C70" s="388">
        <v>404000</v>
      </c>
      <c r="D70" s="292">
        <v>0</v>
      </c>
      <c r="E70" s="375">
        <v>0.1011770598547458</v>
      </c>
      <c r="F70" s="258">
        <v>412000</v>
      </c>
      <c r="G70" s="292">
        <v>0</v>
      </c>
      <c r="H70" s="358">
        <v>0.10618556701030928</v>
      </c>
      <c r="I70" s="358">
        <v>-1.9417475728155331E-2</v>
      </c>
    </row>
    <row r="71" spans="2:9" x14ac:dyDescent="0.25">
      <c r="B71" s="392" t="s">
        <v>283</v>
      </c>
      <c r="C71" s="388">
        <v>162000</v>
      </c>
      <c r="D71" s="292">
        <v>0</v>
      </c>
      <c r="E71" s="375">
        <v>4.0570999248685201E-2</v>
      </c>
      <c r="F71" s="258">
        <v>159000</v>
      </c>
      <c r="G71" s="292">
        <v>0</v>
      </c>
      <c r="H71" s="358">
        <v>4.0979381443298969E-2</v>
      </c>
      <c r="I71" s="358">
        <v>1.8867924528301883E-2</v>
      </c>
    </row>
    <row r="72" spans="2:9" x14ac:dyDescent="0.25">
      <c r="B72" s="392" t="s">
        <v>284</v>
      </c>
      <c r="C72" s="388">
        <v>2715000</v>
      </c>
      <c r="D72" s="292">
        <v>0.2063562936011796</v>
      </c>
      <c r="E72" s="375">
        <v>0.67993989481592787</v>
      </c>
      <c r="F72" s="258">
        <v>2615000</v>
      </c>
      <c r="G72" s="292">
        <v>0.2262532981530343</v>
      </c>
      <c r="H72" s="358">
        <v>0.6739690721649485</v>
      </c>
      <c r="I72" s="358">
        <v>3.8240917782026873E-2</v>
      </c>
    </row>
    <row r="73" spans="2:9" x14ac:dyDescent="0.25">
      <c r="B73" s="392" t="s">
        <v>285</v>
      </c>
      <c r="C73" s="388">
        <v>2142000</v>
      </c>
      <c r="D73" s="292">
        <v>0.26915937073785784</v>
      </c>
      <c r="E73" s="375">
        <v>0.53643876784372657</v>
      </c>
      <c r="F73" s="258">
        <v>2058000</v>
      </c>
      <c r="G73" s="292">
        <v>0.25</v>
      </c>
      <c r="H73" s="358">
        <v>0.53041237113402062</v>
      </c>
      <c r="I73" s="358">
        <v>4.081632653061229E-2</v>
      </c>
    </row>
    <row r="74" spans="2:9" x14ac:dyDescent="0.25">
      <c r="B74" s="392" t="s">
        <v>286</v>
      </c>
      <c r="C74" s="388">
        <v>468000</v>
      </c>
      <c r="D74" s="292">
        <v>0</v>
      </c>
      <c r="E74" s="375">
        <v>0.11720510894064613</v>
      </c>
      <c r="F74" s="258">
        <v>468000</v>
      </c>
      <c r="G74" s="292">
        <v>0</v>
      </c>
      <c r="H74" s="358">
        <v>0.12061855670103093</v>
      </c>
      <c r="I74" s="358">
        <v>0</v>
      </c>
    </row>
    <row r="75" spans="2:9" x14ac:dyDescent="0.25">
      <c r="B75" s="392" t="s">
        <v>566</v>
      </c>
      <c r="C75" s="388">
        <v>244000</v>
      </c>
      <c r="D75" s="292">
        <v>0</v>
      </c>
      <c r="E75" s="375">
        <v>6.1106937139994988E-2</v>
      </c>
      <c r="F75" s="258">
        <v>226000</v>
      </c>
      <c r="G75" s="292">
        <v>0</v>
      </c>
      <c r="H75" s="358">
        <v>5.8247422680412372E-2</v>
      </c>
      <c r="I75" s="358">
        <v>7.9646017699114946E-2</v>
      </c>
    </row>
    <row r="79" spans="2:9" x14ac:dyDescent="0.25">
      <c r="B79" s="336" t="s">
        <v>567</v>
      </c>
      <c r="C79" s="336"/>
      <c r="D79" s="336"/>
      <c r="E79" s="336"/>
      <c r="F79" s="336"/>
    </row>
    <row r="80" spans="2:9" x14ac:dyDescent="0.25">
      <c r="B80" s="370" t="s">
        <v>288</v>
      </c>
    </row>
    <row r="81" spans="2:8" x14ac:dyDescent="0.25">
      <c r="B81" s="253" t="s">
        <v>567</v>
      </c>
      <c r="C81" s="254">
        <v>2025</v>
      </c>
      <c r="D81" s="254">
        <v>2024</v>
      </c>
      <c r="E81" s="255" t="s">
        <v>556</v>
      </c>
      <c r="F81" s="255" t="s">
        <v>541</v>
      </c>
    </row>
    <row r="82" spans="2:8" x14ac:dyDescent="0.25">
      <c r="B82" s="256" t="s">
        <v>568</v>
      </c>
      <c r="C82" s="257">
        <v>4500000</v>
      </c>
      <c r="D82" s="258">
        <v>5800000</v>
      </c>
      <c r="E82" s="259">
        <f>C82/D82-1</f>
        <v>-0.22413793103448276</v>
      </c>
      <c r="F82" s="260" t="s">
        <v>686</v>
      </c>
    </row>
    <row r="83" spans="2:8" ht="15" x14ac:dyDescent="0.25">
      <c r="B83" s="256" t="s">
        <v>569</v>
      </c>
      <c r="C83" s="257">
        <v>4000000</v>
      </c>
      <c r="D83" s="261">
        <v>4300000</v>
      </c>
      <c r="E83" s="262">
        <f>C83/D83-1</f>
        <v>-6.9767441860465129E-2</v>
      </c>
      <c r="F83" s="261">
        <v>3900000</v>
      </c>
    </row>
    <row r="84" spans="2:8" x14ac:dyDescent="0.25">
      <c r="C84" s="257"/>
      <c r="D84" s="261"/>
      <c r="E84" s="262"/>
      <c r="F84" s="261"/>
    </row>
    <row r="85" spans="2:8" x14ac:dyDescent="0.25">
      <c r="B85" s="762" t="s">
        <v>625</v>
      </c>
      <c r="C85" s="762"/>
      <c r="D85" s="762"/>
      <c r="E85" s="762"/>
      <c r="F85" s="762"/>
      <c r="G85" s="762"/>
    </row>
    <row r="87" spans="2:8" x14ac:dyDescent="0.25">
      <c r="B87" s="336" t="s">
        <v>289</v>
      </c>
      <c r="C87" s="336"/>
      <c r="D87" s="336"/>
      <c r="F87" s="368"/>
    </row>
    <row r="88" spans="2:8" x14ac:dyDescent="0.25">
      <c r="B88" s="370" t="s">
        <v>290</v>
      </c>
    </row>
    <row r="89" spans="2:8" x14ac:dyDescent="0.25">
      <c r="B89" s="256" t="s">
        <v>570</v>
      </c>
      <c r="C89" s="263">
        <v>2025</v>
      </c>
      <c r="D89" s="263">
        <v>2024</v>
      </c>
      <c r="E89" s="263"/>
    </row>
    <row r="90" spans="2:8" ht="27.6" x14ac:dyDescent="0.25">
      <c r="B90" s="264" t="s">
        <v>571</v>
      </c>
      <c r="C90" s="265">
        <v>525000000</v>
      </c>
      <c r="D90" s="257">
        <v>548228600</v>
      </c>
      <c r="E90" s="257"/>
    </row>
    <row r="91" spans="2:8" ht="14.4" customHeight="1" x14ac:dyDescent="0.25"/>
    <row r="92" spans="2:8" x14ac:dyDescent="0.25">
      <c r="B92" s="762" t="s">
        <v>291</v>
      </c>
      <c r="C92" s="762"/>
      <c r="D92" s="762"/>
      <c r="E92" s="762"/>
      <c r="F92" s="390"/>
    </row>
    <row r="93" spans="2:8" x14ac:dyDescent="0.25">
      <c r="B93" s="762"/>
      <c r="C93" s="762"/>
      <c r="D93" s="762"/>
      <c r="E93" s="762"/>
      <c r="F93" s="390"/>
    </row>
    <row r="95" spans="2:8" x14ac:dyDescent="0.25">
      <c r="B95" s="336" t="s">
        <v>572</v>
      </c>
      <c r="C95" s="336"/>
      <c r="D95" s="336"/>
      <c r="E95" s="336"/>
    </row>
    <row r="96" spans="2:8" x14ac:dyDescent="0.25">
      <c r="B96" s="393"/>
      <c r="C96" s="267">
        <v>2025</v>
      </c>
      <c r="D96" s="267">
        <v>2024</v>
      </c>
      <c r="E96" s="272" t="s">
        <v>687</v>
      </c>
      <c r="H96" s="391"/>
    </row>
    <row r="97" spans="2:6" x14ac:dyDescent="0.25">
      <c r="B97" s="256" t="s">
        <v>573</v>
      </c>
      <c r="C97" s="373">
        <v>44.264567411412493</v>
      </c>
      <c r="D97" s="373">
        <v>25.340466072804478</v>
      </c>
      <c r="E97" s="389">
        <f>C97/D97-1</f>
        <v>0.74679373632032209</v>
      </c>
    </row>
    <row r="98" spans="2:6" x14ac:dyDescent="0.25">
      <c r="B98" s="256" t="s">
        <v>574</v>
      </c>
      <c r="C98" s="373">
        <v>13.594517756870678</v>
      </c>
      <c r="D98" s="373">
        <v>11.902500000000002</v>
      </c>
      <c r="E98" s="389">
        <f>C98/D98-1</f>
        <v>0.14215650131238622</v>
      </c>
    </row>
    <row r="100" spans="2:6" x14ac:dyDescent="0.25">
      <c r="B100" s="336" t="s">
        <v>581</v>
      </c>
      <c r="C100" s="336"/>
      <c r="D100" s="336"/>
      <c r="E100" s="336"/>
    </row>
    <row r="101" spans="2:6" x14ac:dyDescent="0.25">
      <c r="B101" s="266"/>
      <c r="C101" s="267">
        <v>2025</v>
      </c>
      <c r="D101" s="267">
        <v>2024</v>
      </c>
      <c r="E101" s="272" t="s">
        <v>687</v>
      </c>
    </row>
    <row r="102" spans="2:6" x14ac:dyDescent="0.25">
      <c r="B102" s="268" t="s">
        <v>869</v>
      </c>
      <c r="C102" s="269">
        <v>1.9E-3</v>
      </c>
      <c r="D102" s="269">
        <f>6369000/3487000000</f>
        <v>1.8264984227129339E-3</v>
      </c>
      <c r="E102" s="270">
        <f>C102/D102-1</f>
        <v>4.0241796200345403E-2</v>
      </c>
      <c r="F102" s="269"/>
    </row>
    <row r="103" spans="2:6" x14ac:dyDescent="0.25">
      <c r="B103" s="271" t="s">
        <v>870</v>
      </c>
      <c r="C103" s="269">
        <v>1.8600000000000001E-3</v>
      </c>
      <c r="D103" s="269">
        <v>1.7899999999999999E-3</v>
      </c>
      <c r="E103" s="270">
        <f>C103/D103-1</f>
        <v>3.9106145251396773E-2</v>
      </c>
      <c r="F103" s="269"/>
    </row>
    <row r="105" spans="2:6" x14ac:dyDescent="0.25">
      <c r="B105" s="336" t="s">
        <v>582</v>
      </c>
      <c r="C105" s="336"/>
      <c r="D105" s="336"/>
    </row>
    <row r="106" spans="2:6" x14ac:dyDescent="0.25">
      <c r="B106" s="254"/>
      <c r="C106" s="254">
        <v>2025</v>
      </c>
      <c r="D106" s="254">
        <v>2024</v>
      </c>
    </row>
    <row r="107" spans="2:6" x14ac:dyDescent="0.25">
      <c r="B107" s="268" t="s">
        <v>688</v>
      </c>
      <c r="C107" s="273">
        <f>ROUND(3365863858,-6)</f>
        <v>3366000000</v>
      </c>
      <c r="D107" s="273">
        <v>3487000000</v>
      </c>
    </row>
    <row r="108" spans="2:6" ht="14.4" thickBot="1" x14ac:dyDescent="0.3">
      <c r="B108" s="274" t="s">
        <v>689</v>
      </c>
      <c r="C108" s="275">
        <v>0</v>
      </c>
      <c r="D108" s="275">
        <v>0</v>
      </c>
    </row>
    <row r="109" spans="2:6" ht="14.4" thickBot="1" x14ac:dyDescent="0.3">
      <c r="B109" s="276" t="s">
        <v>690</v>
      </c>
      <c r="C109" s="277">
        <f>SUM(C107:C108)</f>
        <v>3366000000</v>
      </c>
      <c r="D109" s="277">
        <f>SUM(D107:D108)</f>
        <v>3487000000</v>
      </c>
    </row>
    <row r="110" spans="2:6" ht="14.4" thickTop="1" x14ac:dyDescent="0.25"/>
  </sheetData>
  <mergeCells count="11">
    <mergeCell ref="B5:J5"/>
    <mergeCell ref="B3:J3"/>
    <mergeCell ref="B85:G85"/>
    <mergeCell ref="B92:E93"/>
    <mergeCell ref="B56:B57"/>
    <mergeCell ref="C7:F7"/>
    <mergeCell ref="H7:J7"/>
    <mergeCell ref="C56:D56"/>
    <mergeCell ref="E56:F56"/>
    <mergeCell ref="C68:E68"/>
    <mergeCell ref="F68:H68"/>
  </mergeCells>
  <hyperlinks>
    <hyperlink ref="B66" r:id="rId1" location="5334" display="https://xbrl.efrag.org/e-esrs/esrs-set1-2023.html - 5334" xr:uid="{96DB444B-6B93-4119-AF2C-345C5C423F01}"/>
    <hyperlink ref="A1" location="'Table of Contents'!A1" display="Back to Table of Contents" xr:uid="{7E90A38F-D2DD-4030-A731-1FA53152BC19}"/>
  </hyperlinks>
  <pageMargins left="0.7" right="0.7" top="0.78740157499999996" bottom="0.78740157499999996" header="0.3" footer="0.3"/>
  <pageSetup paperSize="9" orientation="portrait" r:id="rId2"/>
  <headerFooter>
    <oddHeader>&amp;L&amp;"Calibri"&amp;10&amp;K000000 Sensitivity: Internal&amp;1#_x000D_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7A0D69ACC8B264C9008DC6674BD4D36" ma:contentTypeVersion="18" ma:contentTypeDescription="Ein neues Dokument erstellen." ma:contentTypeScope="" ma:versionID="4b1b8e88036300c93af6f313107eb35d">
  <xsd:schema xmlns:xsd="http://www.w3.org/2001/XMLSchema" xmlns:xs="http://www.w3.org/2001/XMLSchema" xmlns:p="http://schemas.microsoft.com/office/2006/metadata/properties" xmlns:ns2="42a1ff34-b426-4071-bf57-96d61536e751" xmlns:ns3="706f2c79-6fee-4181-b98e-7885a85cc060" targetNamespace="http://schemas.microsoft.com/office/2006/metadata/properties" ma:root="true" ma:fieldsID="0530b79f01cb33022d3c61053b004d1f" ns2:_="" ns3:_="">
    <xsd:import namespace="42a1ff34-b426-4071-bf57-96d61536e751"/>
    <xsd:import namespace="706f2c79-6fee-4181-b98e-7885a85cc06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a1ff34-b426-4071-bf57-96d61536e75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ildmarkierungen" ma:readOnly="false" ma:fieldId="{5cf76f15-5ced-4ddc-b409-7134ff3c332f}" ma:taxonomyMulti="true" ma:sspId="c39f2f88-c28d-410f-855d-f0776c0d303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6f2c79-6fee-4181-b98e-7885a85cc060"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16" nillable="true" ma:displayName="Taxonomy Catch All Column" ma:hidden="true" ma:list="{aaeaa203-0bca-4c03-ad5d-086dc738828c}" ma:internalName="TaxCatchAll" ma:showField="CatchAllData" ma:web="706f2c79-6fee-4181-b98e-7885a85cc0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2a1ff34-b426-4071-bf57-96d61536e751">
      <Terms xmlns="http://schemas.microsoft.com/office/infopath/2007/PartnerControls"/>
    </lcf76f155ced4ddcb4097134ff3c332f>
    <TaxCatchAll xmlns="706f2c79-6fee-4181-b98e-7885a85cc060" xsi:nil="true"/>
    <SharedWithUsers xmlns="706f2c79-6fee-4181-b98e-7885a85cc060">
      <UserInfo>
        <DisplayName>Michael Joos</DisplayName>
        <AccountId>24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5BC63B-56C4-4FF2-B0DD-CCAC1361E3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a1ff34-b426-4071-bf57-96d61536e751"/>
    <ds:schemaRef ds:uri="706f2c79-6fee-4181-b98e-7885a85cc0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082104-7850-4706-83B9-2955904E243F}">
  <ds:schemaRefs>
    <ds:schemaRef ds:uri="42a1ff34-b426-4071-bf57-96d61536e751"/>
    <ds:schemaRef ds:uri="http://www.w3.org/XML/1998/namespace"/>
    <ds:schemaRef ds:uri="http://schemas.microsoft.com/office/2006/documentManagement/types"/>
    <ds:schemaRef ds:uri="706f2c79-6fee-4181-b98e-7885a85cc060"/>
    <ds:schemaRef ds:uri="http://purl.org/dc/dcmityp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5D447729-9F3E-4DE8-B658-739BD48D3CD6}">
  <ds:schemaRefs>
    <ds:schemaRef ds:uri="http://schemas.microsoft.com/sharepoint/v3/contenttype/forms"/>
  </ds:schemaRefs>
</ds:datastoreItem>
</file>

<file path=docMetadata/LabelInfo.xml><?xml version="1.0" encoding="utf-8"?>
<clbl:labelList xmlns:clbl="http://schemas.microsoft.com/office/2020/mipLabelMetadata">
  <clbl:label id="{9ed9df57-6107-465f-b416-456b5ec3294b}" enabled="1" method="Privileged" siteId="{651b43ce-ccb8-4301-b551-b04dd872d401}"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2</DocSecurity>
  <ScaleCrop>false</ScaleCrop>
  <HeadingPairs>
    <vt:vector size="4" baseType="variant">
      <vt:variant>
        <vt:lpstr>Arbeitsblätter</vt:lpstr>
      </vt:variant>
      <vt:variant>
        <vt:i4>36</vt:i4>
      </vt:variant>
      <vt:variant>
        <vt:lpstr>Benannte Bereiche</vt:lpstr>
      </vt:variant>
      <vt:variant>
        <vt:i4>44</vt:i4>
      </vt:variant>
    </vt:vector>
  </HeadingPairs>
  <TitlesOfParts>
    <vt:vector size="80" baseType="lpstr">
      <vt:lpstr>Charts</vt:lpstr>
      <vt:lpstr>Cover Page</vt:lpstr>
      <vt:lpstr>Introduction</vt:lpstr>
      <vt:lpstr>Table of Contents</vt:lpstr>
      <vt:lpstr>Targets 2025 </vt:lpstr>
      <vt:lpstr>Targets 2030</vt:lpstr>
      <vt:lpstr>Targets Climate</vt:lpstr>
      <vt:lpstr>Targets Energy</vt:lpstr>
      <vt:lpstr>GHG emissions</vt:lpstr>
      <vt:lpstr>  GHG emissions methodology</vt:lpstr>
      <vt:lpstr>Energy</vt:lpstr>
      <vt:lpstr>Energy methodology</vt:lpstr>
      <vt:lpstr> Physical Climate Risks</vt:lpstr>
      <vt:lpstr>Transitional Climate Risks</vt:lpstr>
      <vt:lpstr>Air emissions</vt:lpstr>
      <vt:lpstr>Water </vt:lpstr>
      <vt:lpstr>Resources Use and Waste</vt:lpstr>
      <vt:lpstr>Biodiversity </vt:lpstr>
      <vt:lpstr>Own Workforce</vt:lpstr>
      <vt:lpstr>Own Workforce by country</vt:lpstr>
      <vt:lpstr>Own Workforce by region</vt:lpstr>
      <vt:lpstr>Health and Safety</vt:lpstr>
      <vt:lpstr>Diversity</vt:lpstr>
      <vt:lpstr> Human Rights</vt:lpstr>
      <vt:lpstr>Social Dialogue</vt:lpstr>
      <vt:lpstr>Communities</vt:lpstr>
      <vt:lpstr>Supply Chain DD</vt:lpstr>
      <vt:lpstr>Corruption&amp;Bribery</vt:lpstr>
      <vt:lpstr>SDGs</vt:lpstr>
      <vt:lpstr>Value Bridge Analysis</vt:lpstr>
      <vt:lpstr>ESG Ratings</vt:lpstr>
      <vt:lpstr>ISO Certifications</vt:lpstr>
      <vt:lpstr>Taxonomy_Summary</vt:lpstr>
      <vt:lpstr>Taxonomy_Turnover</vt:lpstr>
      <vt:lpstr>Taxonomy_CapEx</vt:lpstr>
      <vt:lpstr>Taxonomy_OpEx</vt:lpstr>
      <vt:lpstr>'  GHG emissions methodology'!_ftn1</vt:lpstr>
      <vt:lpstr>'  GHG emissions methodology'!_ftnref1</vt:lpstr>
      <vt:lpstr>'  GHG emissions methodology'!_ftnref2</vt:lpstr>
      <vt:lpstr>'Air emissions'!_Toc190949513</vt:lpstr>
      <vt:lpstr>'  GHG emissions methodology'!_Toc256000007</vt:lpstr>
      <vt:lpstr>Disaggregation_of_GHG_emissions</vt:lpstr>
      <vt:lpstr>'Cover Page'!Druckbereich</vt:lpstr>
      <vt:lpstr>Introduction!Druckbereich</vt:lpstr>
      <vt:lpstr>'Transitional Climate Risks'!Druckbereich</vt:lpstr>
      <vt:lpstr>NonFin_Template1_EN</vt:lpstr>
      <vt:lpstr>Taxonomy_CapEx!NonFin_Template2_EN_CapEx</vt:lpstr>
      <vt:lpstr>Taxonomy_OpEx!NonFin_Template2_EN_OpEx</vt:lpstr>
      <vt:lpstr>NonFin_Template2_EN_Turnover</vt:lpstr>
      <vt:lpstr>scope1_Split</vt:lpstr>
      <vt:lpstr>TAB_CAPEX</vt:lpstr>
      <vt:lpstr>TAB_E1_6_SCOPE2</vt:lpstr>
      <vt:lpstr>TAB_E16_</vt:lpstr>
      <vt:lpstr>TAB_E16_GROSS_SCOPES</vt:lpstr>
      <vt:lpstr>TAB_EI_6_SCOPE3</vt:lpstr>
      <vt:lpstr>TAB_EMISSIONS_BIOG_FUELS</vt:lpstr>
      <vt:lpstr>'Transitional Climate Risks'!TAB_ESRS_DR_E1_IRO1_2</vt:lpstr>
      <vt:lpstr>TAB_ESRS_S1_4_HS</vt:lpstr>
      <vt:lpstr>TAB_HEALTH_AND_SAFETY_METRICS</vt:lpstr>
      <vt:lpstr>TAB_HEALTH_AND_SAFETY_METRICS_REVIEWED</vt:lpstr>
      <vt:lpstr>TAB_HEALTH_SAFETY_RESTATEMENTS</vt:lpstr>
      <vt:lpstr>TAB_HEALTH_SAFETY_TARGETS</vt:lpstr>
      <vt:lpstr>TAB_HEALTH_SAFETY_TARGETS_REVIEWED</vt:lpstr>
      <vt:lpstr>TAB_HS_METRICS</vt:lpstr>
      <vt:lpstr>TAB_NOx_Emissions</vt:lpstr>
      <vt:lpstr>TAB_NOX_POL</vt:lpstr>
      <vt:lpstr>Tab_NOX2</vt:lpstr>
      <vt:lpstr>TAB_OTHER_AIR_POLLUTANTS</vt:lpstr>
      <vt:lpstr>TAB_Other_Pollutants_Emissions</vt:lpstr>
      <vt:lpstr>Tab_OtherPol2</vt:lpstr>
      <vt:lpstr>TAB_PCR_E1_9list</vt:lpstr>
      <vt:lpstr>TAB_REVENUE</vt:lpstr>
      <vt:lpstr>TAB_S1_17</vt:lpstr>
      <vt:lpstr>TAB_SCOPE1_ETS</vt:lpstr>
      <vt:lpstr>TAB_SOx_Emissions</vt:lpstr>
      <vt:lpstr>TAB_SOX_POL</vt:lpstr>
      <vt:lpstr>Tab_SOx2</vt:lpstr>
      <vt:lpstr>TABLE_E1_IRO1_2_TRANSITION_RISK</vt:lpstr>
      <vt:lpstr>TITLE_DR_S1_17_HUMAN_RIGHTS</vt:lpstr>
      <vt:lpstr>'Transitional Climate Risks'!TITLE_ESRS_DR_E1_IRO1_2</vt:lpstr>
    </vt:vector>
  </TitlesOfParts>
  <Manager>Layse Harada</Manager>
  <Company>RHI Magnesita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RHIM Sustainability Data Pack 2025</dc:title>
  <dc:subject>ESG data </dc:subject>
  <dc:creator>Layse Harada</dc:creator>
  <cp:keywords>ESG, Taxonomy, SDGs, GHG, Water, Waste, Climate, Target, Own Workforce, Policies, Sustainabilty Statement</cp:keywords>
  <dc:description/>
  <cp:lastModifiedBy>Layse Harada</cp:lastModifiedBy>
  <cp:revision/>
  <dcterms:created xsi:type="dcterms:W3CDTF">2022-07-06T14:53:28Z</dcterms:created>
  <dcterms:modified xsi:type="dcterms:W3CDTF">2026-03-27T16:34:04Z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0x010100C7A0D69ACC8B264C9008DC6674BD4D36</vt:lpwstr>
  </property>
  <property fmtid="{D5CDD505-2E9C-101B-9397-08002B2CF9AE}" pid="3" name="MediaServiceImageTags">
    <vt:lpwstr/>
  </property>
  <property fmtid="{D5CDD505-2E9C-101B-9397-08002B2CF9AE}" pid="4" name="MSIP_Label_9ed9df57-6107-465f-b416-456b5ec3294b_Enabled">
    <vt:lpwstr>true</vt:lpwstr>
  </property>
  <property fmtid="{D5CDD505-2E9C-101B-9397-08002B2CF9AE}" pid="5" name="MSIP_Label_9ed9df57-6107-465f-b416-456b5ec3294b_SetDate">
    <vt:lpwstr>2024-03-04T09:20:05Z</vt:lpwstr>
  </property>
  <property fmtid="{D5CDD505-2E9C-101B-9397-08002B2CF9AE}" pid="6" name="MSIP_Label_9ed9df57-6107-465f-b416-456b5ec3294b_Method">
    <vt:lpwstr>Privileged</vt:lpwstr>
  </property>
  <property fmtid="{D5CDD505-2E9C-101B-9397-08002B2CF9AE}" pid="7" name="MSIP_Label_9ed9df57-6107-465f-b416-456b5ec3294b_Name">
    <vt:lpwstr>Public</vt:lpwstr>
  </property>
  <property fmtid="{D5CDD505-2E9C-101B-9397-08002B2CF9AE}" pid="8" name="MSIP_Label_9ed9df57-6107-465f-b416-456b5ec3294b_SiteId">
    <vt:lpwstr>651b43ce-ccb8-4301-b551-b04dd872d401</vt:lpwstr>
  </property>
  <property fmtid="{D5CDD505-2E9C-101B-9397-08002B2CF9AE}" pid="9" name="MSIP_Label_9ed9df57-6107-465f-b416-456b5ec3294b_ActionId">
    <vt:lpwstr>c6d49ffb-cbdd-4e79-a39a-847c91c69178</vt:lpwstr>
  </property>
  <property fmtid="{D5CDD505-2E9C-101B-9397-08002B2CF9AE}" pid="10" name="MSIP_Label_9ed9df57-6107-465f-b416-456b5ec3294b_ContentBits">
    <vt:lpwstr>0</vt:lpwstr>
  </property>
</Properties>
</file>